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se\"/>
    </mc:Choice>
  </mc:AlternateContent>
  <bookViews>
    <workbookView xWindow="120" yWindow="105" windowWidth="11700" windowHeight="5880" activeTab="5"/>
  </bookViews>
  <sheets>
    <sheet name="14.4" sheetId="1" r:id="rId1"/>
    <sheet name="14.5" sheetId="2" r:id="rId2"/>
    <sheet name="14.6" sheetId="3" r:id="rId3"/>
    <sheet name="14.7" sheetId="4" r:id="rId4"/>
    <sheet name="14.8" sheetId="5" r:id="rId5"/>
    <sheet name="14.9" sheetId="6" r:id="rId6"/>
  </sheets>
  <calcPr calcId="152511"/>
</workbook>
</file>

<file path=xl/calcChain.xml><?xml version="1.0" encoding="utf-8"?>
<calcChain xmlns="http://schemas.openxmlformats.org/spreadsheetml/2006/main">
  <c r="G9" i="6" l="1"/>
  <c r="G8" i="6"/>
  <c r="G7" i="6"/>
  <c r="G6" i="6"/>
  <c r="C35" i="4" l="1"/>
  <c r="C34" i="4"/>
  <c r="C35" i="3"/>
  <c r="C34" i="3"/>
  <c r="C35" i="2"/>
  <c r="C34" i="2"/>
  <c r="C35" i="1"/>
  <c r="C34" i="1"/>
  <c r="P29" i="5"/>
  <c r="P29" i="4"/>
  <c r="P29" i="2"/>
  <c r="P29" i="3"/>
  <c r="H6" i="1"/>
  <c r="I6" i="1" s="1"/>
  <c r="H7" i="1"/>
  <c r="I7" i="1"/>
  <c r="J7" i="1" s="1"/>
  <c r="K7" i="1" s="1"/>
  <c r="L7" i="1" s="1"/>
  <c r="M7" i="1" s="1"/>
  <c r="N7" i="1" s="1"/>
  <c r="O7" i="1" s="1"/>
  <c r="P7" i="1" s="1"/>
  <c r="H8" i="1"/>
  <c r="I8" i="1" s="1"/>
  <c r="H9" i="1"/>
  <c r="I9" i="1" s="1"/>
  <c r="J9" i="1" s="1"/>
  <c r="K9" i="1" s="1"/>
  <c r="L9" i="1" s="1"/>
  <c r="M9" i="1" s="1"/>
  <c r="N9" i="1" s="1"/>
  <c r="O9" i="1" s="1"/>
  <c r="P9" i="1" s="1"/>
  <c r="H11" i="1"/>
  <c r="I11" i="1" s="1"/>
  <c r="J11" i="1" s="1"/>
  <c r="H14" i="1"/>
  <c r="I14" i="1" s="1"/>
  <c r="J14" i="1" s="1"/>
  <c r="K14" i="1" s="1"/>
  <c r="L14" i="1" s="1"/>
  <c r="M14" i="1" s="1"/>
  <c r="N14" i="1" s="1"/>
  <c r="O14" i="1" s="1"/>
  <c r="P14" i="1" s="1"/>
  <c r="C2" i="1"/>
  <c r="C3" i="1" s="1"/>
  <c r="D32" i="1"/>
  <c r="G27" i="1"/>
  <c r="H27" i="1" s="1"/>
  <c r="I27" i="1" s="1"/>
  <c r="J27" i="1" s="1"/>
  <c r="K27" i="1" s="1"/>
  <c r="L27" i="1" s="1"/>
  <c r="M27" i="1" s="1"/>
  <c r="N27" i="1" s="1"/>
  <c r="O27" i="1" s="1"/>
  <c r="H5" i="1"/>
  <c r="I5" i="1" s="1"/>
  <c r="J5" i="1" s="1"/>
  <c r="K5" i="1" s="1"/>
  <c r="L5" i="1" s="1"/>
  <c r="M5" i="1" s="1"/>
  <c r="N5" i="1" s="1"/>
  <c r="O5" i="1" s="1"/>
  <c r="P5" i="1" s="1"/>
  <c r="G10" i="1"/>
  <c r="G15" i="1"/>
  <c r="G16" i="1"/>
  <c r="G17" i="1"/>
  <c r="G18" i="1"/>
  <c r="G12" i="1"/>
  <c r="G13" i="1"/>
  <c r="H12" i="1"/>
  <c r="H13" i="1"/>
  <c r="H6" i="2"/>
  <c r="I6" i="2" s="1"/>
  <c r="J6" i="2" s="1"/>
  <c r="H7" i="2"/>
  <c r="I7" i="2" s="1"/>
  <c r="H8" i="2"/>
  <c r="I8" i="2" s="1"/>
  <c r="J8" i="2" s="1"/>
  <c r="H9" i="2"/>
  <c r="I9" i="2" s="1"/>
  <c r="J9" i="2" s="1"/>
  <c r="K9" i="2" s="1"/>
  <c r="L9" i="2" s="1"/>
  <c r="M9" i="2" s="1"/>
  <c r="N9" i="2" s="1"/>
  <c r="O9" i="2" s="1"/>
  <c r="P9" i="2" s="1"/>
  <c r="H11" i="2"/>
  <c r="I11" i="2" s="1"/>
  <c r="H14" i="2"/>
  <c r="I14" i="2" s="1"/>
  <c r="J14" i="2" s="1"/>
  <c r="K14" i="2" s="1"/>
  <c r="L14" i="2" s="1"/>
  <c r="M14" i="2" s="1"/>
  <c r="N14" i="2" s="1"/>
  <c r="O14" i="2" s="1"/>
  <c r="P14" i="2" s="1"/>
  <c r="C2" i="2"/>
  <c r="C3" i="2" s="1"/>
  <c r="E32" i="2"/>
  <c r="G10" i="2"/>
  <c r="G15" i="2" s="1"/>
  <c r="G12" i="2"/>
  <c r="G13" i="2"/>
  <c r="G16" i="2"/>
  <c r="G27" i="2"/>
  <c r="H13" i="2"/>
  <c r="H27" i="2"/>
  <c r="I27" i="2" s="1"/>
  <c r="J27" i="2" s="1"/>
  <c r="K27" i="2" s="1"/>
  <c r="L27" i="2" s="1"/>
  <c r="M27" i="2" s="1"/>
  <c r="N27" i="2" s="1"/>
  <c r="O27" i="2" s="1"/>
  <c r="D32" i="2"/>
  <c r="H5" i="2"/>
  <c r="I5" i="2" s="1"/>
  <c r="J5" i="2" s="1"/>
  <c r="K5" i="2" s="1"/>
  <c r="L5" i="2" s="1"/>
  <c r="M5" i="2" s="1"/>
  <c r="N5" i="2" s="1"/>
  <c r="O5" i="2" s="1"/>
  <c r="P5" i="2" s="1"/>
  <c r="H6" i="3"/>
  <c r="I6" i="3" s="1"/>
  <c r="J6" i="3" s="1"/>
  <c r="H7" i="3"/>
  <c r="I7" i="3" s="1"/>
  <c r="H8" i="3"/>
  <c r="I8" i="3" s="1"/>
  <c r="J8" i="3" s="1"/>
  <c r="H9" i="3"/>
  <c r="I9" i="3" s="1"/>
  <c r="J9" i="3" s="1"/>
  <c r="K9" i="3" s="1"/>
  <c r="L9" i="3" s="1"/>
  <c r="M9" i="3" s="1"/>
  <c r="N9" i="3" s="1"/>
  <c r="O9" i="3" s="1"/>
  <c r="P9" i="3" s="1"/>
  <c r="H11" i="3"/>
  <c r="I11" i="3" s="1"/>
  <c r="H14" i="3"/>
  <c r="I14" i="3" s="1"/>
  <c r="J14" i="3" s="1"/>
  <c r="K14" i="3" s="1"/>
  <c r="C2" i="3"/>
  <c r="C3" i="3" s="1"/>
  <c r="H5" i="3"/>
  <c r="I5" i="3" s="1"/>
  <c r="J5" i="3" s="1"/>
  <c r="K5" i="3" s="1"/>
  <c r="L5" i="3" s="1"/>
  <c r="M5" i="3" s="1"/>
  <c r="N5" i="3" s="1"/>
  <c r="O5" i="3" s="1"/>
  <c r="P5" i="3" s="1"/>
  <c r="E32" i="3"/>
  <c r="G10" i="3"/>
  <c r="G15" i="3" s="1"/>
  <c r="G12" i="3"/>
  <c r="G13" i="3"/>
  <c r="G18" i="3"/>
  <c r="G27" i="3"/>
  <c r="H27" i="3" s="1"/>
  <c r="I27" i="3" s="1"/>
  <c r="J27" i="3" s="1"/>
  <c r="K27" i="3" s="1"/>
  <c r="L27" i="3" s="1"/>
  <c r="M27" i="3" s="1"/>
  <c r="N27" i="3" s="1"/>
  <c r="O27" i="3" s="1"/>
  <c r="I12" i="3"/>
  <c r="I13" i="3"/>
  <c r="H6" i="4"/>
  <c r="I6" i="4" s="1"/>
  <c r="H7" i="4"/>
  <c r="I7" i="4" s="1"/>
  <c r="H8" i="4"/>
  <c r="I8" i="4" s="1"/>
  <c r="H9" i="4"/>
  <c r="I9" i="4" s="1"/>
  <c r="J9" i="4" s="1"/>
  <c r="K9" i="4" s="1"/>
  <c r="L9" i="4" s="1"/>
  <c r="M9" i="4" s="1"/>
  <c r="N9" i="4" s="1"/>
  <c r="O9" i="4" s="1"/>
  <c r="P9" i="4" s="1"/>
  <c r="H11" i="4"/>
  <c r="I11" i="4" s="1"/>
  <c r="H14" i="4"/>
  <c r="I14" i="4"/>
  <c r="J14" i="4" s="1"/>
  <c r="K14" i="4" s="1"/>
  <c r="L14" i="4" s="1"/>
  <c r="M14" i="4" s="1"/>
  <c r="N14" i="4" s="1"/>
  <c r="O14" i="4" s="1"/>
  <c r="P14" i="4" s="1"/>
  <c r="C2" i="4"/>
  <c r="D32" i="4" s="1"/>
  <c r="C3" i="4"/>
  <c r="K3" i="4" s="1"/>
  <c r="E32" i="4"/>
  <c r="G10" i="4"/>
  <c r="G15" i="4" s="1"/>
  <c r="G12" i="4"/>
  <c r="G13" i="4"/>
  <c r="G27" i="4"/>
  <c r="H12" i="4"/>
  <c r="H26" i="4"/>
  <c r="H27" i="4"/>
  <c r="I27" i="4" s="1"/>
  <c r="J27" i="4" s="1"/>
  <c r="K27" i="4" s="1"/>
  <c r="L27" i="4" s="1"/>
  <c r="M27" i="4" s="1"/>
  <c r="N27" i="4" s="1"/>
  <c r="O27" i="4" s="1"/>
  <c r="L26" i="4"/>
  <c r="M26" i="4"/>
  <c r="N26" i="4"/>
  <c r="O26" i="4"/>
  <c r="H5" i="4"/>
  <c r="I5" i="4"/>
  <c r="J5" i="4" s="1"/>
  <c r="K5" i="4" s="1"/>
  <c r="L5" i="4" s="1"/>
  <c r="M5" i="4" s="1"/>
  <c r="N5" i="4" s="1"/>
  <c r="O5" i="4" s="1"/>
  <c r="P5" i="4" s="1"/>
  <c r="H6" i="5"/>
  <c r="I6" i="5" s="1"/>
  <c r="J6" i="5" s="1"/>
  <c r="K6" i="5" s="1"/>
  <c r="L6" i="5" s="1"/>
  <c r="H7" i="5"/>
  <c r="I7" i="5"/>
  <c r="J7" i="5" s="1"/>
  <c r="K7" i="5" s="1"/>
  <c r="L7" i="5" s="1"/>
  <c r="M7" i="5" s="1"/>
  <c r="N7" i="5" s="1"/>
  <c r="O7" i="5" s="1"/>
  <c r="P7" i="5" s="1"/>
  <c r="H8" i="5"/>
  <c r="I8" i="5" s="1"/>
  <c r="J8" i="5" s="1"/>
  <c r="H9" i="5"/>
  <c r="I9" i="5"/>
  <c r="J9" i="5" s="1"/>
  <c r="K9" i="5"/>
  <c r="L9" i="5" s="1"/>
  <c r="M9" i="5" s="1"/>
  <c r="N9" i="5" s="1"/>
  <c r="O9" i="5" s="1"/>
  <c r="P9" i="5" s="1"/>
  <c r="H11" i="5"/>
  <c r="I11" i="5"/>
  <c r="J11" i="5" s="1"/>
  <c r="K11" i="5"/>
  <c r="L11" i="5" s="1"/>
  <c r="M11" i="5" s="1"/>
  <c r="H14" i="5"/>
  <c r="I14" i="5" s="1"/>
  <c r="J14" i="5" s="1"/>
  <c r="C2" i="5"/>
  <c r="C3" i="5" s="1"/>
  <c r="E32" i="5"/>
  <c r="G10" i="5"/>
  <c r="G18" i="5" s="1"/>
  <c r="G12" i="5"/>
  <c r="G19" i="5" s="1"/>
  <c r="G20" i="5" s="1"/>
  <c r="G13" i="5"/>
  <c r="G15" i="5"/>
  <c r="G16" i="5"/>
  <c r="G17" i="5"/>
  <c r="G27" i="5"/>
  <c r="H13" i="5"/>
  <c r="H27" i="5"/>
  <c r="I27" i="5" s="1"/>
  <c r="J27" i="5" s="1"/>
  <c r="K27" i="5" s="1"/>
  <c r="L27" i="5" s="1"/>
  <c r="M27" i="5" s="1"/>
  <c r="N27" i="5" s="1"/>
  <c r="O27" i="5" s="1"/>
  <c r="I12" i="5"/>
  <c r="I13" i="5"/>
  <c r="D32" i="5"/>
  <c r="H5" i="5"/>
  <c r="I5" i="5" s="1"/>
  <c r="J5" i="5" s="1"/>
  <c r="K5" i="5" s="1"/>
  <c r="L5" i="5" s="1"/>
  <c r="M5" i="5" s="1"/>
  <c r="N5" i="5" s="1"/>
  <c r="O5" i="5" s="1"/>
  <c r="P5" i="5" s="1"/>
  <c r="H7" i="6"/>
  <c r="I7" i="6" s="1"/>
  <c r="J7" i="6" s="1"/>
  <c r="K7" i="6" s="1"/>
  <c r="L7" i="6" s="1"/>
  <c r="M7" i="6" s="1"/>
  <c r="N7" i="6" s="1"/>
  <c r="O7" i="6" s="1"/>
  <c r="P7" i="6" s="1"/>
  <c r="G13" i="6"/>
  <c r="H9" i="6"/>
  <c r="I9" i="6" s="1"/>
  <c r="J9" i="6" s="1"/>
  <c r="K9" i="6" s="1"/>
  <c r="L9" i="6" s="1"/>
  <c r="M9" i="6" s="1"/>
  <c r="N9" i="6" s="1"/>
  <c r="O9" i="6" s="1"/>
  <c r="P9" i="6" s="1"/>
  <c r="C2" i="6"/>
  <c r="C3" i="6" s="1"/>
  <c r="G27" i="6"/>
  <c r="H5" i="6"/>
  <c r="H11" i="6"/>
  <c r="H14" i="6"/>
  <c r="H27" i="6"/>
  <c r="I27" i="6" s="1"/>
  <c r="J27" i="6" s="1"/>
  <c r="K27" i="6" s="1"/>
  <c r="L27" i="6" s="1"/>
  <c r="M27" i="6" s="1"/>
  <c r="N27" i="6" s="1"/>
  <c r="O27" i="6" s="1"/>
  <c r="I11" i="6"/>
  <c r="J11" i="6" s="1"/>
  <c r="K11" i="6" s="1"/>
  <c r="I14" i="6"/>
  <c r="J14" i="6" s="1"/>
  <c r="K14" i="6" s="1"/>
  <c r="L14" i="6" s="1"/>
  <c r="M14" i="6" s="1"/>
  <c r="N14" i="6" s="1"/>
  <c r="O14" i="6" s="1"/>
  <c r="P14" i="6" s="1"/>
  <c r="I5" i="6"/>
  <c r="J5" i="6" s="1"/>
  <c r="K5" i="6" s="1"/>
  <c r="L5" i="6" s="1"/>
  <c r="M5" i="6" s="1"/>
  <c r="N5" i="6" s="1"/>
  <c r="O5" i="6" s="1"/>
  <c r="P5" i="6" s="1"/>
  <c r="H12" i="5" l="1"/>
  <c r="H10" i="5"/>
  <c r="H16" i="5" s="1"/>
  <c r="J6" i="4"/>
  <c r="I12" i="4"/>
  <c r="K8" i="3"/>
  <c r="J13" i="3"/>
  <c r="J7" i="3"/>
  <c r="K7" i="3" s="1"/>
  <c r="L7" i="3" s="1"/>
  <c r="M7" i="3" s="1"/>
  <c r="N7" i="3" s="1"/>
  <c r="O7" i="3" s="1"/>
  <c r="P7" i="3" s="1"/>
  <c r="I10" i="3"/>
  <c r="K8" i="5"/>
  <c r="J13" i="5"/>
  <c r="K6" i="3"/>
  <c r="J10" i="3"/>
  <c r="J12" i="3"/>
  <c r="J8" i="4"/>
  <c r="K8" i="4" s="1"/>
  <c r="I13" i="4"/>
  <c r="H15" i="5"/>
  <c r="H17" i="5"/>
  <c r="H18" i="5"/>
  <c r="J11" i="3"/>
  <c r="K11" i="3" s="1"/>
  <c r="L11" i="3" s="1"/>
  <c r="M11" i="3" s="1"/>
  <c r="N11" i="3" s="1"/>
  <c r="G21" i="2"/>
  <c r="G26" i="2" s="1"/>
  <c r="N3" i="2"/>
  <c r="P23" i="2" s="1"/>
  <c r="H21" i="2"/>
  <c r="H26" i="2" s="1"/>
  <c r="G17" i="3"/>
  <c r="J12" i="5"/>
  <c r="G16" i="3"/>
  <c r="G19" i="3" s="1"/>
  <c r="G20" i="3" s="1"/>
  <c r="G25" i="3" s="1"/>
  <c r="H12" i="2"/>
  <c r="K12" i="5"/>
  <c r="J10" i="5"/>
  <c r="J26" i="4"/>
  <c r="G18" i="4"/>
  <c r="H13" i="3"/>
  <c r="H10" i="2"/>
  <c r="H10" i="4"/>
  <c r="K26" i="4"/>
  <c r="E32" i="6"/>
  <c r="K10" i="5"/>
  <c r="K17" i="5" s="1"/>
  <c r="G16" i="4"/>
  <c r="D32" i="3"/>
  <c r="H12" i="3"/>
  <c r="H10" i="1"/>
  <c r="P26" i="4"/>
  <c r="I26" i="4"/>
  <c r="H10" i="3"/>
  <c r="H17" i="3" s="1"/>
  <c r="I13" i="2"/>
  <c r="G18" i="2"/>
  <c r="G19" i="1"/>
  <c r="G20" i="1" s="1"/>
  <c r="G25" i="1" s="1"/>
  <c r="H13" i="4"/>
  <c r="I10" i="5"/>
  <c r="G10" i="6"/>
  <c r="G17" i="6" s="1"/>
  <c r="L11" i="6"/>
  <c r="J26" i="6"/>
  <c r="L26" i="6"/>
  <c r="N26" i="6"/>
  <c r="H26" i="6"/>
  <c r="L3" i="6"/>
  <c r="G21" i="6" s="1"/>
  <c r="H21" i="6" s="1"/>
  <c r="I21" i="6" s="1"/>
  <c r="J21" i="6" s="1"/>
  <c r="K21" i="6" s="1"/>
  <c r="L21" i="6" s="1"/>
  <c r="M21" i="6" s="1"/>
  <c r="N21" i="6" s="1"/>
  <c r="O21" i="6" s="1"/>
  <c r="P21" i="6" s="1"/>
  <c r="G26" i="6"/>
  <c r="I26" i="6"/>
  <c r="K26" i="6"/>
  <c r="M26" i="6"/>
  <c r="O26" i="6"/>
  <c r="P26" i="6"/>
  <c r="I3" i="6"/>
  <c r="N3" i="5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G26" i="5"/>
  <c r="I26" i="5"/>
  <c r="K26" i="5"/>
  <c r="M26" i="5"/>
  <c r="O26" i="5"/>
  <c r="P26" i="5"/>
  <c r="H26" i="5"/>
  <c r="J26" i="5"/>
  <c r="L26" i="5"/>
  <c r="N26" i="5"/>
  <c r="I3" i="5"/>
  <c r="N11" i="5"/>
  <c r="G25" i="5"/>
  <c r="G29" i="5" s="1"/>
  <c r="G31" i="5" s="1"/>
  <c r="K14" i="5"/>
  <c r="L14" i="5" s="1"/>
  <c r="M14" i="5" s="1"/>
  <c r="N14" i="5" s="1"/>
  <c r="O14" i="5" s="1"/>
  <c r="P14" i="5" s="1"/>
  <c r="M6" i="5"/>
  <c r="L12" i="5"/>
  <c r="K6" i="4"/>
  <c r="J12" i="4"/>
  <c r="L14" i="3"/>
  <c r="M14" i="3" s="1"/>
  <c r="N14" i="3" s="1"/>
  <c r="O14" i="3" s="1"/>
  <c r="P14" i="3" s="1"/>
  <c r="G12" i="6"/>
  <c r="D32" i="6"/>
  <c r="H8" i="6"/>
  <c r="H6" i="6"/>
  <c r="G21" i="4"/>
  <c r="H21" i="4"/>
  <c r="I21" i="4" s="1"/>
  <c r="J21" i="4" s="1"/>
  <c r="K21" i="4" s="1"/>
  <c r="L21" i="4" s="1"/>
  <c r="M21" i="4" s="1"/>
  <c r="N21" i="4" s="1"/>
  <c r="O21" i="4" s="1"/>
  <c r="P21" i="4" s="1"/>
  <c r="J11" i="4"/>
  <c r="J7" i="4"/>
  <c r="K7" i="4" s="1"/>
  <c r="L7" i="4" s="1"/>
  <c r="M7" i="4" s="1"/>
  <c r="N7" i="4" s="1"/>
  <c r="O7" i="4" s="1"/>
  <c r="P7" i="4" s="1"/>
  <c r="I10" i="4"/>
  <c r="G26" i="3"/>
  <c r="P26" i="3"/>
  <c r="N26" i="3"/>
  <c r="L26" i="3"/>
  <c r="J26" i="3"/>
  <c r="H26" i="3"/>
  <c r="J3" i="3"/>
  <c r="O26" i="3"/>
  <c r="M26" i="3"/>
  <c r="K26" i="3"/>
  <c r="I26" i="3"/>
  <c r="J11" i="2"/>
  <c r="J13" i="2"/>
  <c r="K8" i="2"/>
  <c r="J7" i="2"/>
  <c r="K7" i="2" s="1"/>
  <c r="L7" i="2" s="1"/>
  <c r="M7" i="2" s="1"/>
  <c r="N7" i="2" s="1"/>
  <c r="O7" i="2" s="1"/>
  <c r="P7" i="2" s="1"/>
  <c r="I10" i="2"/>
  <c r="I12" i="1"/>
  <c r="J6" i="1"/>
  <c r="I10" i="1"/>
  <c r="G17" i="4"/>
  <c r="G19" i="4" s="1"/>
  <c r="G20" i="4" s="1"/>
  <c r="G26" i="4"/>
  <c r="J10" i="2"/>
  <c r="K6" i="2"/>
  <c r="J12" i="2"/>
  <c r="P21" i="1"/>
  <c r="P26" i="1" s="1"/>
  <c r="N21" i="1"/>
  <c r="N26" i="1" s="1"/>
  <c r="L21" i="1"/>
  <c r="L26" i="1" s="1"/>
  <c r="J21" i="1"/>
  <c r="J26" i="1" s="1"/>
  <c r="H21" i="1"/>
  <c r="H26" i="1" s="1"/>
  <c r="G21" i="1"/>
  <c r="G26" i="1" s="1"/>
  <c r="O21" i="1"/>
  <c r="O26" i="1" s="1"/>
  <c r="M21" i="1"/>
  <c r="M26" i="1" s="1"/>
  <c r="K21" i="1"/>
  <c r="K26" i="1" s="1"/>
  <c r="I21" i="1"/>
  <c r="I26" i="1" s="1"/>
  <c r="I3" i="1"/>
  <c r="N3" i="1"/>
  <c r="P23" i="1" s="1"/>
  <c r="K11" i="1"/>
  <c r="J8" i="1"/>
  <c r="I13" i="1"/>
  <c r="I3" i="2"/>
  <c r="I21" i="2"/>
  <c r="I12" i="2"/>
  <c r="H17" i="2"/>
  <c r="G17" i="2"/>
  <c r="G19" i="2" s="1"/>
  <c r="G20" i="2" s="1"/>
  <c r="E32" i="1"/>
  <c r="G15" i="6" l="1"/>
  <c r="G16" i="6"/>
  <c r="G18" i="6"/>
  <c r="H19" i="5"/>
  <c r="H20" i="5" s="1"/>
  <c r="H25" i="5" s="1"/>
  <c r="L8" i="3"/>
  <c r="K13" i="3"/>
  <c r="I15" i="5"/>
  <c r="I16" i="5"/>
  <c r="I18" i="5"/>
  <c r="H15" i="4"/>
  <c r="H16" i="4"/>
  <c r="H17" i="4"/>
  <c r="H18" i="4"/>
  <c r="G29" i="1"/>
  <c r="G31" i="1" s="1"/>
  <c r="I17" i="5"/>
  <c r="H15" i="1"/>
  <c r="H18" i="1"/>
  <c r="H16" i="1"/>
  <c r="H17" i="1"/>
  <c r="H15" i="2"/>
  <c r="H16" i="2"/>
  <c r="H18" i="2"/>
  <c r="L6" i="3"/>
  <c r="K10" i="3"/>
  <c r="K12" i="3"/>
  <c r="J13" i="4"/>
  <c r="G24" i="5"/>
  <c r="G32" i="5" s="1"/>
  <c r="K15" i="5"/>
  <c r="K16" i="5"/>
  <c r="K18" i="5"/>
  <c r="J15" i="5"/>
  <c r="J16" i="5"/>
  <c r="J17" i="5"/>
  <c r="J18" i="5"/>
  <c r="L8" i="5"/>
  <c r="K13" i="5"/>
  <c r="J15" i="3"/>
  <c r="J16" i="3"/>
  <c r="J18" i="3"/>
  <c r="H15" i="3"/>
  <c r="H18" i="3"/>
  <c r="H16" i="3"/>
  <c r="I15" i="3"/>
  <c r="I16" i="3"/>
  <c r="I17" i="3"/>
  <c r="I18" i="3"/>
  <c r="J17" i="3"/>
  <c r="J19" i="3" s="1"/>
  <c r="J20" i="3" s="1"/>
  <c r="J25" i="3" s="1"/>
  <c r="J29" i="3" s="1"/>
  <c r="J31" i="3" s="1"/>
  <c r="G25" i="4"/>
  <c r="G29" i="4" s="1"/>
  <c r="G31" i="4" s="1"/>
  <c r="G33" i="4"/>
  <c r="G24" i="4"/>
  <c r="G32" i="4" s="1"/>
  <c r="G24" i="2"/>
  <c r="G33" i="2"/>
  <c r="G25" i="2"/>
  <c r="G29" i="2" s="1"/>
  <c r="G31" i="2" s="1"/>
  <c r="L11" i="1"/>
  <c r="J16" i="2"/>
  <c r="J18" i="2"/>
  <c r="J15" i="2"/>
  <c r="J17" i="2"/>
  <c r="K6" i="1"/>
  <c r="J10" i="1"/>
  <c r="J12" i="1"/>
  <c r="I15" i="2"/>
  <c r="I17" i="2"/>
  <c r="I16" i="2"/>
  <c r="I18" i="2"/>
  <c r="L8" i="2"/>
  <c r="K13" i="2"/>
  <c r="K11" i="2"/>
  <c r="G21" i="3"/>
  <c r="H21" i="3"/>
  <c r="I21" i="3" s="1"/>
  <c r="L8" i="4"/>
  <c r="K13" i="4"/>
  <c r="K11" i="4"/>
  <c r="H13" i="6"/>
  <c r="I8" i="6"/>
  <c r="O11" i="5"/>
  <c r="G33" i="1"/>
  <c r="G24" i="1"/>
  <c r="G32" i="1" s="1"/>
  <c r="G29" i="3"/>
  <c r="G31" i="3" s="1"/>
  <c r="J10" i="4"/>
  <c r="H29" i="5"/>
  <c r="H31" i="5" s="1"/>
  <c r="I26" i="2"/>
  <c r="J21" i="2"/>
  <c r="K8" i="1"/>
  <c r="J13" i="1"/>
  <c r="L6" i="2"/>
  <c r="K12" i="2"/>
  <c r="K10" i="2"/>
  <c r="I15" i="1"/>
  <c r="I17" i="1"/>
  <c r="I16" i="1"/>
  <c r="I18" i="1"/>
  <c r="O11" i="3"/>
  <c r="I15" i="4"/>
  <c r="I17" i="4"/>
  <c r="I16" i="4"/>
  <c r="I18" i="4"/>
  <c r="H12" i="6"/>
  <c r="H10" i="6"/>
  <c r="I6" i="6"/>
  <c r="K12" i="4"/>
  <c r="L6" i="4"/>
  <c r="K10" i="4"/>
  <c r="N6" i="5"/>
  <c r="M12" i="5"/>
  <c r="M11" i="6"/>
  <c r="H24" i="5"/>
  <c r="G19" i="6" l="1"/>
  <c r="G20" i="6" s="1"/>
  <c r="G25" i="6" s="1"/>
  <c r="G29" i="6" s="1"/>
  <c r="G31" i="6" s="1"/>
  <c r="C34" i="5"/>
  <c r="C35" i="5"/>
  <c r="I19" i="1"/>
  <c r="I20" i="1" s="1"/>
  <c r="I25" i="1" s="1"/>
  <c r="I29" i="1" s="1"/>
  <c r="I31" i="1" s="1"/>
  <c r="H32" i="5"/>
  <c r="K19" i="5"/>
  <c r="K20" i="5" s="1"/>
  <c r="K24" i="5" s="1"/>
  <c r="H19" i="4"/>
  <c r="H20" i="4" s="1"/>
  <c r="H19" i="3"/>
  <c r="H20" i="3" s="1"/>
  <c r="H25" i="3" s="1"/>
  <c r="H29" i="3" s="1"/>
  <c r="H31" i="3" s="1"/>
  <c r="L13" i="3"/>
  <c r="M8" i="3"/>
  <c r="J19" i="2"/>
  <c r="J20" i="2" s="1"/>
  <c r="K25" i="5"/>
  <c r="K29" i="5" s="1"/>
  <c r="K31" i="5" s="1"/>
  <c r="H25" i="4"/>
  <c r="H29" i="4" s="1"/>
  <c r="H31" i="4" s="1"/>
  <c r="H24" i="4"/>
  <c r="H33" i="4"/>
  <c r="L10" i="5"/>
  <c r="L13" i="5"/>
  <c r="M8" i="5"/>
  <c r="H19" i="2"/>
  <c r="H20" i="2" s="1"/>
  <c r="I19" i="2"/>
  <c r="I20" i="2" s="1"/>
  <c r="I25" i="2" s="1"/>
  <c r="I29" i="2" s="1"/>
  <c r="I31" i="2" s="1"/>
  <c r="K15" i="3"/>
  <c r="K16" i="3"/>
  <c r="K17" i="3"/>
  <c r="K18" i="3"/>
  <c r="J19" i="5"/>
  <c r="J20" i="5" s="1"/>
  <c r="L12" i="3"/>
  <c r="L10" i="3"/>
  <c r="M6" i="3"/>
  <c r="H19" i="1"/>
  <c r="H20" i="1" s="1"/>
  <c r="I19" i="5"/>
  <c r="I20" i="5" s="1"/>
  <c r="I19" i="3"/>
  <c r="I20" i="3" s="1"/>
  <c r="I25" i="3" s="1"/>
  <c r="I29" i="3" s="1"/>
  <c r="I31" i="3" s="1"/>
  <c r="I24" i="1"/>
  <c r="I33" i="1"/>
  <c r="I33" i="2"/>
  <c r="I24" i="2"/>
  <c r="J24" i="2"/>
  <c r="J25" i="2"/>
  <c r="J33" i="2"/>
  <c r="M6" i="4"/>
  <c r="L10" i="4"/>
  <c r="L12" i="4"/>
  <c r="O6" i="5"/>
  <c r="N12" i="5"/>
  <c r="K15" i="4"/>
  <c r="K17" i="4"/>
  <c r="K16" i="4"/>
  <c r="K18" i="4"/>
  <c r="H15" i="6"/>
  <c r="H17" i="6"/>
  <c r="H16" i="6"/>
  <c r="H18" i="6"/>
  <c r="P11" i="3"/>
  <c r="K15" i="2"/>
  <c r="K19" i="2" s="1"/>
  <c r="K20" i="2" s="1"/>
  <c r="K17" i="2"/>
  <c r="K18" i="2"/>
  <c r="K16" i="2"/>
  <c r="L10" i="2"/>
  <c r="M6" i="2"/>
  <c r="L12" i="2"/>
  <c r="L8" i="1"/>
  <c r="K13" i="1"/>
  <c r="J16" i="4"/>
  <c r="J18" i="4"/>
  <c r="J15" i="4"/>
  <c r="J17" i="4"/>
  <c r="L11" i="4"/>
  <c r="M8" i="4"/>
  <c r="L13" i="4"/>
  <c r="G24" i="3"/>
  <c r="G32" i="3" s="1"/>
  <c r="G33" i="3"/>
  <c r="L11" i="2"/>
  <c r="L13" i="2"/>
  <c r="M8" i="2"/>
  <c r="K12" i="1"/>
  <c r="L6" i="1"/>
  <c r="K10" i="1"/>
  <c r="I19" i="4"/>
  <c r="I20" i="4" s="1"/>
  <c r="H24" i="3"/>
  <c r="N11" i="6"/>
  <c r="I12" i="6"/>
  <c r="J6" i="6"/>
  <c r="I10" i="6"/>
  <c r="J26" i="2"/>
  <c r="K21" i="2"/>
  <c r="P11" i="5"/>
  <c r="J8" i="6"/>
  <c r="I13" i="6"/>
  <c r="J21" i="3"/>
  <c r="J15" i="1"/>
  <c r="J17" i="1"/>
  <c r="J16" i="1"/>
  <c r="J18" i="1"/>
  <c r="M11" i="1"/>
  <c r="H33" i="3"/>
  <c r="G32" i="2"/>
  <c r="G24" i="6" l="1"/>
  <c r="G32" i="6" s="1"/>
  <c r="H32" i="3"/>
  <c r="H19" i="6"/>
  <c r="H20" i="6" s="1"/>
  <c r="H25" i="6" s="1"/>
  <c r="H29" i="6" s="1"/>
  <c r="H31" i="6" s="1"/>
  <c r="K19" i="4"/>
  <c r="K20" i="4" s="1"/>
  <c r="K33" i="4" s="1"/>
  <c r="H32" i="4"/>
  <c r="K19" i="3"/>
  <c r="K20" i="3" s="1"/>
  <c r="K25" i="3" s="1"/>
  <c r="K29" i="3" s="1"/>
  <c r="K31" i="3" s="1"/>
  <c r="N8" i="3"/>
  <c r="M13" i="3"/>
  <c r="I32" i="2"/>
  <c r="J25" i="5"/>
  <c r="J29" i="5" s="1"/>
  <c r="J31" i="5" s="1"/>
  <c r="J24" i="5"/>
  <c r="M13" i="5"/>
  <c r="M10" i="5"/>
  <c r="N8" i="5"/>
  <c r="I24" i="5"/>
  <c r="I25" i="5"/>
  <c r="I29" i="5" s="1"/>
  <c r="I31" i="5" s="1"/>
  <c r="H25" i="1"/>
  <c r="H29" i="1" s="1"/>
  <c r="H31" i="1" s="1"/>
  <c r="H33" i="1"/>
  <c r="H24" i="1"/>
  <c r="J19" i="1"/>
  <c r="J20" i="1" s="1"/>
  <c r="J24" i="1" s="1"/>
  <c r="J19" i="4"/>
  <c r="J20" i="4" s="1"/>
  <c r="M12" i="3"/>
  <c r="M10" i="3"/>
  <c r="N6" i="3"/>
  <c r="L15" i="5"/>
  <c r="L17" i="5"/>
  <c r="L16" i="5"/>
  <c r="L18" i="5"/>
  <c r="I33" i="3"/>
  <c r="I24" i="3"/>
  <c r="I32" i="3" s="1"/>
  <c r="L15" i="3"/>
  <c r="L18" i="3"/>
  <c r="L16" i="3"/>
  <c r="L17" i="3"/>
  <c r="K32" i="5"/>
  <c r="H25" i="2"/>
  <c r="H29" i="2" s="1"/>
  <c r="H31" i="2" s="1"/>
  <c r="H24" i="2"/>
  <c r="H33" i="2"/>
  <c r="K25" i="2"/>
  <c r="K33" i="2"/>
  <c r="K24" i="2"/>
  <c r="K25" i="4"/>
  <c r="K29" i="4" s="1"/>
  <c r="K31" i="4" s="1"/>
  <c r="J24" i="4"/>
  <c r="J25" i="4"/>
  <c r="J29" i="4" s="1"/>
  <c r="J31" i="4" s="1"/>
  <c r="J33" i="4"/>
  <c r="N11" i="1"/>
  <c r="I15" i="6"/>
  <c r="I17" i="6"/>
  <c r="I16" i="6"/>
  <c r="I18" i="6"/>
  <c r="K15" i="1"/>
  <c r="K17" i="1"/>
  <c r="K16" i="1"/>
  <c r="K18" i="1"/>
  <c r="K21" i="3"/>
  <c r="J33" i="3"/>
  <c r="J24" i="3"/>
  <c r="J32" i="3" s="1"/>
  <c r="J13" i="6"/>
  <c r="K8" i="6"/>
  <c r="J10" i="6"/>
  <c r="J12" i="6"/>
  <c r="K6" i="6"/>
  <c r="O11" i="6"/>
  <c r="M6" i="1"/>
  <c r="L10" i="1"/>
  <c r="L12" i="1"/>
  <c r="N8" i="2"/>
  <c r="M13" i="2"/>
  <c r="M11" i="2"/>
  <c r="M8" i="1"/>
  <c r="L13" i="1"/>
  <c r="N6" i="2"/>
  <c r="M12" i="2"/>
  <c r="M10" i="2"/>
  <c r="M12" i="4"/>
  <c r="N6" i="4"/>
  <c r="M10" i="4"/>
  <c r="I32" i="1"/>
  <c r="L21" i="2"/>
  <c r="K26" i="2"/>
  <c r="I25" i="4"/>
  <c r="I29" i="4" s="1"/>
  <c r="I31" i="4" s="1"/>
  <c r="I33" i="4"/>
  <c r="I24" i="4"/>
  <c r="I32" i="4" s="1"/>
  <c r="N8" i="4"/>
  <c r="M13" i="4"/>
  <c r="M11" i="4"/>
  <c r="L16" i="2"/>
  <c r="L18" i="2"/>
  <c r="L17" i="2"/>
  <c r="L15" i="2"/>
  <c r="P6" i="5"/>
  <c r="O12" i="5"/>
  <c r="L16" i="4"/>
  <c r="L18" i="4"/>
  <c r="L15" i="4"/>
  <c r="L17" i="4"/>
  <c r="J29" i="2"/>
  <c r="J31" i="2" s="1"/>
  <c r="J32" i="2" s="1"/>
  <c r="J33" i="1" l="1"/>
  <c r="H24" i="6"/>
  <c r="H32" i="6" s="1"/>
  <c r="I19" i="6"/>
  <c r="I20" i="6" s="1"/>
  <c r="I25" i="6" s="1"/>
  <c r="I29" i="6" s="1"/>
  <c r="I31" i="6" s="1"/>
  <c r="I32" i="5"/>
  <c r="K24" i="4"/>
  <c r="J32" i="4"/>
  <c r="L19" i="3"/>
  <c r="L20" i="3" s="1"/>
  <c r="L25" i="3" s="1"/>
  <c r="L29" i="3" s="1"/>
  <c r="L31" i="3" s="1"/>
  <c r="N13" i="3"/>
  <c r="O8" i="3"/>
  <c r="K19" i="1"/>
  <c r="K20" i="1" s="1"/>
  <c r="K25" i="1" s="1"/>
  <c r="K29" i="1" s="1"/>
  <c r="K31" i="1" s="1"/>
  <c r="J25" i="1"/>
  <c r="J29" i="1" s="1"/>
  <c r="J31" i="1" s="1"/>
  <c r="J32" i="1" s="1"/>
  <c r="L19" i="2"/>
  <c r="L20" i="2" s="1"/>
  <c r="L24" i="2" s="1"/>
  <c r="K32" i="4"/>
  <c r="L19" i="5"/>
  <c r="L20" i="5" s="1"/>
  <c r="O6" i="3"/>
  <c r="N10" i="3"/>
  <c r="N12" i="3"/>
  <c r="N10" i="5"/>
  <c r="N13" i="5"/>
  <c r="O8" i="5"/>
  <c r="H32" i="2"/>
  <c r="M17" i="5"/>
  <c r="M16" i="5"/>
  <c r="M18" i="5"/>
  <c r="M15" i="5"/>
  <c r="M19" i="5"/>
  <c r="M20" i="5" s="1"/>
  <c r="L19" i="4"/>
  <c r="L20" i="4" s="1"/>
  <c r="L24" i="4" s="1"/>
  <c r="H32" i="1"/>
  <c r="J32" i="5"/>
  <c r="M17" i="3"/>
  <c r="M18" i="3"/>
  <c r="M15" i="3"/>
  <c r="M16" i="3"/>
  <c r="K24" i="1"/>
  <c r="P12" i="5"/>
  <c r="N11" i="4"/>
  <c r="O8" i="4"/>
  <c r="N13" i="4"/>
  <c r="M15" i="4"/>
  <c r="M17" i="4"/>
  <c r="M16" i="4"/>
  <c r="M18" i="4"/>
  <c r="N11" i="2"/>
  <c r="N13" i="2"/>
  <c r="O8" i="2"/>
  <c r="L15" i="1"/>
  <c r="L17" i="1"/>
  <c r="L16" i="1"/>
  <c r="L18" i="1"/>
  <c r="K12" i="6"/>
  <c r="L6" i="6"/>
  <c r="K10" i="6"/>
  <c r="J16" i="6"/>
  <c r="J18" i="6"/>
  <c r="J15" i="6"/>
  <c r="J17" i="6"/>
  <c r="L26" i="2"/>
  <c r="M21" i="2"/>
  <c r="O6" i="4"/>
  <c r="N10" i="4"/>
  <c r="N12" i="4"/>
  <c r="M15" i="2"/>
  <c r="M17" i="2"/>
  <c r="M16" i="2"/>
  <c r="M18" i="2"/>
  <c r="N10" i="2"/>
  <c r="O6" i="2"/>
  <c r="N12" i="2"/>
  <c r="N8" i="1"/>
  <c r="M13" i="1"/>
  <c r="M12" i="1"/>
  <c r="N6" i="1"/>
  <c r="M10" i="1"/>
  <c r="P11" i="6"/>
  <c r="L8" i="6"/>
  <c r="K13" i="6"/>
  <c r="L21" i="3"/>
  <c r="K33" i="3"/>
  <c r="K24" i="3"/>
  <c r="K32" i="3" s="1"/>
  <c r="O11" i="1"/>
  <c r="K29" i="2"/>
  <c r="K31" i="2" s="1"/>
  <c r="K32" i="2" s="1"/>
  <c r="I24" i="6" l="1"/>
  <c r="I32" i="6" s="1"/>
  <c r="K33" i="1"/>
  <c r="J19" i="6"/>
  <c r="J20" i="6" s="1"/>
  <c r="J24" i="6" s="1"/>
  <c r="L33" i="4"/>
  <c r="L25" i="4"/>
  <c r="L29" i="4" s="1"/>
  <c r="L31" i="4" s="1"/>
  <c r="M19" i="4"/>
  <c r="M20" i="4" s="1"/>
  <c r="M24" i="4" s="1"/>
  <c r="M32" i="4" s="1"/>
  <c r="P8" i="3"/>
  <c r="P13" i="3" s="1"/>
  <c r="O13" i="3"/>
  <c r="M19" i="3"/>
  <c r="M20" i="3" s="1"/>
  <c r="M25" i="3" s="1"/>
  <c r="M29" i="3" s="1"/>
  <c r="M31" i="3" s="1"/>
  <c r="L33" i="2"/>
  <c r="L25" i="2"/>
  <c r="L19" i="1"/>
  <c r="L20" i="1" s="1"/>
  <c r="L24" i="1" s="1"/>
  <c r="K32" i="1"/>
  <c r="N15" i="5"/>
  <c r="N17" i="5"/>
  <c r="N16" i="5"/>
  <c r="N18" i="5"/>
  <c r="N18" i="3"/>
  <c r="N15" i="3"/>
  <c r="N17" i="3"/>
  <c r="N16" i="3"/>
  <c r="O12" i="3"/>
  <c r="P6" i="3"/>
  <c r="O10" i="3"/>
  <c r="M19" i="2"/>
  <c r="M20" i="2" s="1"/>
  <c r="M25" i="2" s="1"/>
  <c r="L25" i="5"/>
  <c r="L29" i="5" s="1"/>
  <c r="L31" i="5" s="1"/>
  <c r="L24" i="5"/>
  <c r="M25" i="5"/>
  <c r="M29" i="5" s="1"/>
  <c r="M31" i="5" s="1"/>
  <c r="M24" i="5"/>
  <c r="M32" i="5" s="1"/>
  <c r="O13" i="5"/>
  <c r="O10" i="5"/>
  <c r="P8" i="5"/>
  <c r="M25" i="4"/>
  <c r="M29" i="4" s="1"/>
  <c r="M31" i="4" s="1"/>
  <c r="M33" i="4"/>
  <c r="L13" i="6"/>
  <c r="M8" i="6"/>
  <c r="O6" i="1"/>
  <c r="N10" i="1"/>
  <c r="N12" i="1"/>
  <c r="O12" i="4"/>
  <c r="P6" i="4"/>
  <c r="O10" i="4"/>
  <c r="K15" i="6"/>
  <c r="K17" i="6"/>
  <c r="K16" i="6"/>
  <c r="K18" i="6"/>
  <c r="P8" i="2"/>
  <c r="P13" i="2" s="1"/>
  <c r="O13" i="2"/>
  <c r="O11" i="2"/>
  <c r="P11" i="1"/>
  <c r="M21" i="3"/>
  <c r="L24" i="3"/>
  <c r="L32" i="3" s="1"/>
  <c r="L33" i="3"/>
  <c r="N16" i="2"/>
  <c r="N18" i="2"/>
  <c r="N15" i="2"/>
  <c r="N17" i="2"/>
  <c r="M15" i="1"/>
  <c r="M17" i="1"/>
  <c r="M16" i="1"/>
  <c r="M18" i="1"/>
  <c r="O8" i="1"/>
  <c r="N13" i="1"/>
  <c r="P6" i="2"/>
  <c r="O12" i="2"/>
  <c r="O10" i="2"/>
  <c r="N16" i="4"/>
  <c r="N18" i="4"/>
  <c r="N15" i="4"/>
  <c r="N17" i="4"/>
  <c r="M26" i="2"/>
  <c r="N21" i="2"/>
  <c r="L10" i="6"/>
  <c r="L12" i="6"/>
  <c r="M6" i="6"/>
  <c r="P8" i="4"/>
  <c r="P13" i="4" s="1"/>
  <c r="O13" i="4"/>
  <c r="O11" i="4"/>
  <c r="L29" i="2"/>
  <c r="L31" i="2" s="1"/>
  <c r="L32" i="2" s="1"/>
  <c r="L32" i="4"/>
  <c r="L32" i="5" l="1"/>
  <c r="J25" i="6"/>
  <c r="J29" i="6" s="1"/>
  <c r="J31" i="6" s="1"/>
  <c r="J32" i="6" s="1"/>
  <c r="N19" i="4"/>
  <c r="N20" i="4" s="1"/>
  <c r="N24" i="4" s="1"/>
  <c r="M24" i="2"/>
  <c r="M33" i="2"/>
  <c r="L33" i="1"/>
  <c r="M19" i="1"/>
  <c r="M20" i="1" s="1"/>
  <c r="M33" i="1" s="1"/>
  <c r="L25" i="1"/>
  <c r="L29" i="1" s="1"/>
  <c r="L31" i="1" s="1"/>
  <c r="L32" i="1" s="1"/>
  <c r="K19" i="6"/>
  <c r="K20" i="6" s="1"/>
  <c r="K24" i="6" s="1"/>
  <c r="N19" i="3"/>
  <c r="N20" i="3" s="1"/>
  <c r="N25" i="3" s="1"/>
  <c r="N29" i="3" s="1"/>
  <c r="N31" i="3" s="1"/>
  <c r="P13" i="5"/>
  <c r="P10" i="5"/>
  <c r="O15" i="3"/>
  <c r="O17" i="3"/>
  <c r="O16" i="3"/>
  <c r="O18" i="3"/>
  <c r="O17" i="5"/>
  <c r="O19" i="5" s="1"/>
  <c r="O20" i="5" s="1"/>
  <c r="O16" i="5"/>
  <c r="O15" i="5"/>
  <c r="O18" i="5"/>
  <c r="P10" i="3"/>
  <c r="P12" i="3"/>
  <c r="N19" i="2"/>
  <c r="N20" i="2" s="1"/>
  <c r="N24" i="2" s="1"/>
  <c r="N19" i="5"/>
  <c r="N20" i="5" s="1"/>
  <c r="N33" i="2"/>
  <c r="M24" i="1"/>
  <c r="M25" i="1"/>
  <c r="M29" i="1" s="1"/>
  <c r="M31" i="1" s="1"/>
  <c r="M29" i="2"/>
  <c r="M31" i="2" s="1"/>
  <c r="M32" i="2" s="1"/>
  <c r="M12" i="6"/>
  <c r="N6" i="6"/>
  <c r="M10" i="6"/>
  <c r="L16" i="6"/>
  <c r="L18" i="6"/>
  <c r="L15" i="6"/>
  <c r="L17" i="6"/>
  <c r="O15" i="2"/>
  <c r="O19" i="2" s="1"/>
  <c r="O20" i="2" s="1"/>
  <c r="O17" i="2"/>
  <c r="O18" i="2"/>
  <c r="O16" i="2"/>
  <c r="P10" i="2"/>
  <c r="P12" i="2"/>
  <c r="P8" i="1"/>
  <c r="P13" i="1" s="1"/>
  <c r="O13" i="1"/>
  <c r="N21" i="3"/>
  <c r="M24" i="3"/>
  <c r="M32" i="3" s="1"/>
  <c r="M33" i="3"/>
  <c r="P11" i="2"/>
  <c r="O15" i="4"/>
  <c r="O17" i="4"/>
  <c r="O16" i="4"/>
  <c r="O18" i="4"/>
  <c r="N15" i="1"/>
  <c r="N17" i="1"/>
  <c r="N16" i="1"/>
  <c r="N18" i="1"/>
  <c r="N8" i="6"/>
  <c r="M13" i="6"/>
  <c r="P11" i="4"/>
  <c r="O19" i="4"/>
  <c r="O20" i="4" s="1"/>
  <c r="N26" i="2"/>
  <c r="O21" i="2"/>
  <c r="P10" i="4"/>
  <c r="P12" i="4"/>
  <c r="O12" i="1"/>
  <c r="P6" i="1"/>
  <c r="O10" i="1"/>
  <c r="L19" i="6" l="1"/>
  <c r="L20" i="6" s="1"/>
  <c r="L24" i="6" s="1"/>
  <c r="N19" i="1"/>
  <c r="N20" i="1" s="1"/>
  <c r="N33" i="1" s="1"/>
  <c r="K25" i="6"/>
  <c r="K29" i="6" s="1"/>
  <c r="K31" i="6" s="1"/>
  <c r="K32" i="6" s="1"/>
  <c r="N33" i="4"/>
  <c r="N25" i="4"/>
  <c r="N29" i="4" s="1"/>
  <c r="N31" i="4" s="1"/>
  <c r="N32" i="4" s="1"/>
  <c r="N25" i="2"/>
  <c r="P15" i="3"/>
  <c r="P17" i="3"/>
  <c r="P16" i="3"/>
  <c r="P18" i="3"/>
  <c r="O19" i="3"/>
  <c r="O20" i="3" s="1"/>
  <c r="O25" i="3" s="1"/>
  <c r="O29" i="3" s="1"/>
  <c r="O31" i="3" s="1"/>
  <c r="O25" i="5"/>
  <c r="O29" i="5" s="1"/>
  <c r="O31" i="5" s="1"/>
  <c r="O24" i="5"/>
  <c r="P15" i="5"/>
  <c r="P16" i="5"/>
  <c r="P18" i="5"/>
  <c r="P17" i="5"/>
  <c r="N25" i="5"/>
  <c r="N29" i="5" s="1"/>
  <c r="N31" i="5" s="1"/>
  <c r="N24" i="5"/>
  <c r="O25" i="2"/>
  <c r="O33" i="2"/>
  <c r="O24" i="2"/>
  <c r="O25" i="4"/>
  <c r="O29" i="4" s="1"/>
  <c r="O31" i="4" s="1"/>
  <c r="O33" i="4"/>
  <c r="O24" i="4"/>
  <c r="P21" i="2"/>
  <c r="P26" i="2" s="1"/>
  <c r="O26" i="2"/>
  <c r="O21" i="3"/>
  <c r="N24" i="3"/>
  <c r="N32" i="3" s="1"/>
  <c r="N33" i="3"/>
  <c r="P16" i="2"/>
  <c r="P18" i="2"/>
  <c r="P15" i="2"/>
  <c r="P17" i="2"/>
  <c r="N12" i="6"/>
  <c r="O6" i="6"/>
  <c r="N10" i="6"/>
  <c r="P19" i="2"/>
  <c r="P20" i="2" s="1"/>
  <c r="P10" i="1"/>
  <c r="P12" i="1"/>
  <c r="O15" i="1"/>
  <c r="O17" i="1"/>
  <c r="O16" i="1"/>
  <c r="O18" i="1"/>
  <c r="P15" i="4"/>
  <c r="P17" i="4"/>
  <c r="P16" i="4"/>
  <c r="P18" i="4"/>
  <c r="N13" i="6"/>
  <c r="O8" i="6"/>
  <c r="M15" i="6"/>
  <c r="M17" i="6"/>
  <c r="M16" i="6"/>
  <c r="M18" i="6"/>
  <c r="M32" i="1"/>
  <c r="N29" i="2"/>
  <c r="N31" i="2" s="1"/>
  <c r="N32" i="2" s="1"/>
  <c r="O32" i="4" l="1"/>
  <c r="N25" i="1"/>
  <c r="N29" i="1" s="1"/>
  <c r="N31" i="1" s="1"/>
  <c r="N24" i="1"/>
  <c r="N32" i="1" s="1"/>
  <c r="L25" i="6"/>
  <c r="L29" i="6" s="1"/>
  <c r="L31" i="6" s="1"/>
  <c r="L32" i="6" s="1"/>
  <c r="N32" i="5"/>
  <c r="P19" i="3"/>
  <c r="P20" i="3" s="1"/>
  <c r="P22" i="3" s="1"/>
  <c r="P25" i="3" s="1"/>
  <c r="P31" i="3" s="1"/>
  <c r="O19" i="1"/>
  <c r="O20" i="1" s="1"/>
  <c r="O24" i="1" s="1"/>
  <c r="P19" i="4"/>
  <c r="P20" i="4" s="1"/>
  <c r="P24" i="4" s="1"/>
  <c r="M19" i="6"/>
  <c r="M20" i="6" s="1"/>
  <c r="M25" i="6" s="1"/>
  <c r="M29" i="6" s="1"/>
  <c r="M31" i="6" s="1"/>
  <c r="P19" i="5"/>
  <c r="P20" i="5" s="1"/>
  <c r="O32" i="5"/>
  <c r="P22" i="4"/>
  <c r="P25" i="4" s="1"/>
  <c r="P31" i="4" s="1"/>
  <c r="P22" i="2"/>
  <c r="P25" i="2" s="1"/>
  <c r="P31" i="2" s="1"/>
  <c r="P33" i="2"/>
  <c r="O12" i="6"/>
  <c r="P6" i="6"/>
  <c r="O10" i="6"/>
  <c r="O29" i="2"/>
  <c r="O31" i="2" s="1"/>
  <c r="O32" i="2" s="1"/>
  <c r="P8" i="6"/>
  <c r="P13" i="6" s="1"/>
  <c r="O13" i="6"/>
  <c r="P15" i="1"/>
  <c r="P17" i="1"/>
  <c r="P16" i="1"/>
  <c r="P18" i="1"/>
  <c r="N16" i="6"/>
  <c r="N18" i="6"/>
  <c r="N15" i="6"/>
  <c r="N17" i="6"/>
  <c r="P21" i="3"/>
  <c r="O24" i="3"/>
  <c r="O32" i="3" s="1"/>
  <c r="O33" i="3"/>
  <c r="O33" i="1" l="1"/>
  <c r="O25" i="1"/>
  <c r="O29" i="1" s="1"/>
  <c r="O31" i="1" s="1"/>
  <c r="O32" i="1" s="1"/>
  <c r="M24" i="6"/>
  <c r="M32" i="6" s="1"/>
  <c r="P33" i="4"/>
  <c r="P22" i="5"/>
  <c r="P24" i="5" s="1"/>
  <c r="P19" i="1"/>
  <c r="P20" i="1" s="1"/>
  <c r="P33" i="1" s="1"/>
  <c r="N19" i="6"/>
  <c r="N20" i="6" s="1"/>
  <c r="N24" i="6" s="1"/>
  <c r="P22" i="1"/>
  <c r="P24" i="1" s="1"/>
  <c r="P25" i="1"/>
  <c r="P12" i="6"/>
  <c r="P10" i="6"/>
  <c r="P32" i="4"/>
  <c r="P33" i="3"/>
  <c r="P24" i="3"/>
  <c r="P32" i="3" s="1"/>
  <c r="O18" i="6"/>
  <c r="O15" i="6"/>
  <c r="O17" i="6"/>
  <c r="O16" i="6"/>
  <c r="P24" i="2"/>
  <c r="P32" i="2" s="1"/>
  <c r="O19" i="6" l="1"/>
  <c r="O20" i="6" s="1"/>
  <c r="O25" i="6" s="1"/>
  <c r="O29" i="6" s="1"/>
  <c r="O31" i="6" s="1"/>
  <c r="P29" i="1"/>
  <c r="P31" i="1" s="1"/>
  <c r="P32" i="1" s="1"/>
  <c r="N25" i="6"/>
  <c r="N29" i="6" s="1"/>
  <c r="N31" i="6" s="1"/>
  <c r="N32" i="6" s="1"/>
  <c r="P25" i="5"/>
  <c r="P31" i="5" s="1"/>
  <c r="P32" i="5" s="1"/>
  <c r="P16" i="6"/>
  <c r="P18" i="6"/>
  <c r="P15" i="6"/>
  <c r="P17" i="6"/>
  <c r="O24" i="6" l="1"/>
  <c r="O32" i="6" s="1"/>
  <c r="P19" i="6"/>
  <c r="P20" i="6" s="1"/>
  <c r="P22" i="6" s="1"/>
  <c r="P25" i="6" s="1"/>
  <c r="P29" i="6" l="1"/>
  <c r="P31" i="6" s="1"/>
  <c r="P24" i="6"/>
  <c r="P32" i="6" l="1"/>
  <c r="C34" i="6" l="1"/>
  <c r="C35" i="6"/>
</calcChain>
</file>

<file path=xl/sharedStrings.xml><?xml version="1.0" encoding="utf-8"?>
<sst xmlns="http://schemas.openxmlformats.org/spreadsheetml/2006/main" count="367" uniqueCount="99">
  <si>
    <t>C1</t>
    <phoneticPr fontId="2" type="noConversion"/>
  </si>
  <si>
    <t>C2</t>
    <phoneticPr fontId="2" type="noConversion"/>
  </si>
  <si>
    <r>
      <t>債務保障比率</t>
    </r>
    <r>
      <rPr>
        <sz val="10"/>
        <rFont val="Times New Roman"/>
        <family val="1"/>
      </rPr>
      <t xml:space="preserve"> DCR</t>
    </r>
    <phoneticPr fontId="2" type="noConversion"/>
  </si>
  <si>
    <r>
      <t>內部報酬率</t>
    </r>
    <r>
      <rPr>
        <sz val="10"/>
        <rFont val="Times New Roman"/>
        <family val="1"/>
      </rPr>
      <t xml:space="preserve"> IRR</t>
    </r>
    <phoneticPr fontId="2" type="noConversion"/>
  </si>
  <si>
    <r>
      <t>淨現值</t>
    </r>
    <r>
      <rPr>
        <sz val="10"/>
        <rFont val="Times New Roman"/>
        <family val="1"/>
      </rPr>
      <t xml:space="preserve"> (NPV,8%)</t>
    </r>
    <phoneticPr fontId="2" type="noConversion"/>
  </si>
  <si>
    <t xml:space="preserve">  客房收入</t>
    <phoneticPr fontId="2" type="noConversion"/>
  </si>
  <si>
    <t xml:space="preserve">  店舖收入</t>
    <phoneticPr fontId="2" type="noConversion"/>
  </si>
  <si>
    <t xml:space="preserve">  餐飲收入</t>
    <phoneticPr fontId="2" type="noConversion"/>
  </si>
  <si>
    <t xml:space="preserve">  其他收入</t>
    <phoneticPr fontId="2" type="noConversion"/>
  </si>
  <si>
    <t xml:space="preserve">  土地租金</t>
    <phoneticPr fontId="2" type="noConversion"/>
  </si>
  <si>
    <t xml:space="preserve">  客房部支出</t>
    <phoneticPr fontId="2" type="noConversion"/>
  </si>
  <si>
    <t xml:space="preserve">  餐飲部支出</t>
    <phoneticPr fontId="2" type="noConversion"/>
  </si>
  <si>
    <t xml:space="preserve">  薪資</t>
    <phoneticPr fontId="2" type="noConversion"/>
  </si>
  <si>
    <t xml:space="preserve">  水電燃料費</t>
    <phoneticPr fontId="2" type="noConversion"/>
  </si>
  <si>
    <t xml:space="preserve">  修繕費</t>
    <phoneticPr fontId="2" type="noConversion"/>
  </si>
  <si>
    <t xml:space="preserve">  保險費</t>
    <phoneticPr fontId="2" type="noConversion"/>
  </si>
  <si>
    <t xml:space="preserve">  其他費用</t>
    <phoneticPr fontId="2" type="noConversion"/>
  </si>
  <si>
    <t>自有資金:</t>
    <phoneticPr fontId="2" type="noConversion"/>
  </si>
  <si>
    <t>銀行貸款或發行債券:</t>
    <phoneticPr fontId="2" type="noConversion"/>
  </si>
  <si>
    <t>年</t>
    <phoneticPr fontId="2" type="noConversion"/>
  </si>
  <si>
    <r>
      <t>註: 第一年之償債支出(利息)為當年之利息36,000, 加上開辦興建期第一年之利息(450,000/2 x 8% x 1.08</t>
    </r>
    <r>
      <rPr>
        <vertAlign val="superscript"/>
        <sz val="9"/>
        <rFont val="新細明體"/>
        <family val="1"/>
        <charset val="136"/>
      </rPr>
      <t>2</t>
    </r>
    <r>
      <rPr>
        <sz val="9"/>
        <rFont val="新細明體"/>
        <family val="1"/>
        <charset val="136"/>
      </rPr>
      <t>=20,995), 加上開辦興建期第二年之利息(450,000 x 8% x 1.08=38,880), 共95,875.</t>
    </r>
    <phoneticPr fontId="2" type="noConversion"/>
  </si>
  <si>
    <r>
      <t>註: 第一年之償債支出(利息)為當年之57,600, 加上開辦興建期第一年之利息(720,000/2 x 8% x 1.08</t>
    </r>
    <r>
      <rPr>
        <vertAlign val="superscript"/>
        <sz val="9"/>
        <rFont val="新細明體"/>
        <family val="1"/>
        <charset val="136"/>
      </rPr>
      <t>2</t>
    </r>
    <r>
      <rPr>
        <sz val="9"/>
        <rFont val="新細明體"/>
        <family val="1"/>
        <charset val="136"/>
      </rPr>
      <t>=33,592), 加上開辦興建期第二年之利息(720,000 x 8% x 1.08=62,208), 共153,400.</t>
    </r>
    <phoneticPr fontId="2" type="noConversion"/>
  </si>
  <si>
    <t>單位: 千元</t>
    <phoneticPr fontId="2" type="noConversion"/>
  </si>
  <si>
    <t>每年還息:</t>
    <phoneticPr fontId="2" type="noConversion"/>
  </si>
  <si>
    <t>10年間每年攤還本息:</t>
  </si>
  <si>
    <r>
      <t>註1: 第一年之償債支出為當年之償債支出 67,063, 加上開辦興建期第一年之利息(450,000/2 x 8% x 1.08</t>
    </r>
    <r>
      <rPr>
        <vertAlign val="superscript"/>
        <sz val="9"/>
        <rFont val="新細明體"/>
        <family val="1"/>
        <charset val="136"/>
      </rPr>
      <t>2</t>
    </r>
    <r>
      <rPr>
        <sz val="9"/>
        <rFont val="新細明體"/>
        <family val="1"/>
        <charset val="136"/>
      </rPr>
      <t>=20,995), 加上開辦興建期第二年之利息(450,000 x 8% x 1.08=38,880), 共126,938.</t>
    </r>
    <phoneticPr fontId="2" type="noConversion"/>
  </si>
  <si>
    <t xml:space="preserve">     2: 第一年計稅之利息抵減為當年之36,000, 加上開辦興建期第一年之利息(450,000/2 x 8% x 1.082=20,995), 加上開辦興建期第二年之利息(450,000 x 8% x 1.08=38,880), 共95,875.</t>
    <phoneticPr fontId="2" type="noConversion"/>
  </si>
  <si>
    <t>10年後償還貸款餘額:</t>
  </si>
  <si>
    <r>
      <t>註1: 第一年之償債支出為當年之償債支出 107,301, 加上開辦興建期第一年之利息(720,000/2 x 8% x 1.08</t>
    </r>
    <r>
      <rPr>
        <vertAlign val="superscript"/>
        <sz val="9"/>
        <rFont val="新細明體"/>
        <family val="1"/>
        <charset val="136"/>
      </rPr>
      <t>2</t>
    </r>
    <r>
      <rPr>
        <sz val="9"/>
        <rFont val="新細明體"/>
        <family val="1"/>
        <charset val="136"/>
      </rPr>
      <t>=33,592), 加上開辦興建期第二年之利息(720,000 x 8% x 1.08=62,208), 共203,101.</t>
    </r>
    <phoneticPr fontId="2" type="noConversion"/>
  </si>
  <si>
    <t xml:space="preserve">     2: 第一年計稅之利息抵減為當年之57,600, 加上開辦興建期第一年之利息(720,000/2 x 8% x 1.082=33,592), 加上開辦興建期第二年之利息(720,000 x 8% x 1.08=62,208), 共153,400.</t>
    <phoneticPr fontId="2" type="noConversion"/>
  </si>
  <si>
    <t>必要報酬率:</t>
  </si>
  <si>
    <t>必要報酬率:</t>
    <phoneticPr fontId="2" type="noConversion"/>
  </si>
  <si>
    <t>必要報酬率:</t>
    <phoneticPr fontId="2" type="noConversion"/>
  </si>
  <si>
    <r>
      <rPr>
        <sz val="10"/>
        <color indexed="17"/>
        <rFont val="新細明體"/>
        <family val="1"/>
        <charset val="136"/>
      </rPr>
      <t>年</t>
    </r>
    <phoneticPr fontId="2" type="noConversion"/>
  </si>
  <si>
    <r>
      <rPr>
        <sz val="10"/>
        <color indexed="17"/>
        <rFont val="新細明體"/>
        <family val="1"/>
        <charset val="136"/>
      </rPr>
      <t>年</t>
    </r>
    <phoneticPr fontId="2" type="noConversion"/>
  </si>
  <si>
    <t>(Required rate)</t>
    <phoneticPr fontId="2" type="noConversion"/>
  </si>
  <si>
    <t>(PMT/yr)</t>
    <phoneticPr fontId="2" type="noConversion"/>
  </si>
  <si>
    <t>銀行貸款或發行債券(Loan):</t>
    <phoneticPr fontId="2" type="noConversion"/>
  </si>
  <si>
    <t>自有資金 (Equity):</t>
    <phoneticPr fontId="2" type="noConversion"/>
  </si>
  <si>
    <t>Room Income</t>
    <phoneticPr fontId="2" type="noConversion"/>
  </si>
  <si>
    <t>Store Income</t>
    <phoneticPr fontId="2" type="noConversion"/>
  </si>
  <si>
    <t>Other Income</t>
    <phoneticPr fontId="2" type="noConversion"/>
  </si>
  <si>
    <t>Total Income</t>
    <phoneticPr fontId="2" type="noConversion"/>
  </si>
  <si>
    <t>Land Rent</t>
    <phoneticPr fontId="2" type="noConversion"/>
  </si>
  <si>
    <t>Room Exp.</t>
    <phoneticPr fontId="2" type="noConversion"/>
  </si>
  <si>
    <t>Salary</t>
    <phoneticPr fontId="2" type="noConversion"/>
  </si>
  <si>
    <t>Uti;ities</t>
    <phoneticPr fontId="2" type="noConversion"/>
  </si>
  <si>
    <t>Insurance</t>
    <phoneticPr fontId="2" type="noConversion"/>
  </si>
  <si>
    <t>Other Exp.</t>
    <phoneticPr fontId="2" type="noConversion"/>
  </si>
  <si>
    <t>稅前現金流量 BTCF</t>
    <phoneticPr fontId="2" type="noConversion"/>
  </si>
  <si>
    <t>期初自有資本投入(Initial Eq.) 或 稅後現金流量(or ATCF)</t>
    <phoneticPr fontId="2" type="noConversion"/>
  </si>
  <si>
    <t>(Required rate)</t>
    <phoneticPr fontId="2" type="noConversion"/>
  </si>
  <si>
    <t>(Int/yr)</t>
    <phoneticPr fontId="2" type="noConversion"/>
  </si>
  <si>
    <t>(Requored rate)</t>
    <phoneticPr fontId="2" type="noConversion"/>
  </si>
  <si>
    <t>(Int/yr)</t>
    <phoneticPr fontId="2" type="noConversion"/>
  </si>
  <si>
    <t>必要報酬率:</t>
    <phoneticPr fontId="2" type="noConversion"/>
  </si>
  <si>
    <t>(Int/yr)</t>
    <phoneticPr fontId="2" type="noConversion"/>
  </si>
  <si>
    <t>(Loan Balance a/f 10 yrs)</t>
    <phoneticPr fontId="2" type="noConversion"/>
  </si>
  <si>
    <t>(Loan Balance a/f 10 yrs)</t>
    <phoneticPr fontId="2" type="noConversion"/>
  </si>
  <si>
    <t>必要報酬率:</t>
    <phoneticPr fontId="2" type="noConversion"/>
  </si>
  <si>
    <t>(PMT/yr)</t>
    <phoneticPr fontId="2" type="noConversion"/>
  </si>
  <si>
    <t>(Loan Balance a/f 10 yrs)</t>
    <phoneticPr fontId="2" type="noConversion"/>
  </si>
  <si>
    <t>(Int/yr)</t>
    <phoneticPr fontId="2" type="noConversion"/>
  </si>
  <si>
    <t>PMT/yr)</t>
    <phoneticPr fontId="2" type="noConversion"/>
  </si>
  <si>
    <r>
      <t>總開發成本</t>
    </r>
    <r>
      <rPr>
        <b/>
        <sz val="10"/>
        <rFont val="Times New Roman"/>
        <family val="1"/>
      </rPr>
      <t xml:space="preserve"> (Total Cost):</t>
    </r>
    <phoneticPr fontId="2" type="noConversion"/>
  </si>
  <si>
    <r>
      <t>總開發成本</t>
    </r>
    <r>
      <rPr>
        <b/>
        <sz val="10"/>
        <rFont val="Times New Roman"/>
        <family val="1"/>
      </rPr>
      <t>:</t>
    </r>
    <phoneticPr fontId="2" type="noConversion"/>
  </si>
  <si>
    <r>
      <t>10</t>
    </r>
    <r>
      <rPr>
        <b/>
        <sz val="10"/>
        <rFont val="新細明體"/>
        <family val="1"/>
        <charset val="136"/>
      </rPr>
      <t>年後償還貸款餘額</t>
    </r>
    <r>
      <rPr>
        <b/>
        <sz val="10"/>
        <rFont val="Times New Roman"/>
        <family val="1"/>
      </rPr>
      <t>:</t>
    </r>
    <phoneticPr fontId="2" type="noConversion"/>
  </si>
  <si>
    <r>
      <t>10</t>
    </r>
    <r>
      <rPr>
        <b/>
        <sz val="10"/>
        <rFont val="新細明體"/>
        <family val="1"/>
        <charset val="136"/>
      </rPr>
      <t>年間每年攤還本息</t>
    </r>
    <r>
      <rPr>
        <b/>
        <sz val="10"/>
        <rFont val="Times New Roman"/>
        <family val="1"/>
      </rPr>
      <t>:</t>
    </r>
    <phoneticPr fontId="2" type="noConversion"/>
  </si>
  <si>
    <r>
      <t>10</t>
    </r>
    <r>
      <rPr>
        <b/>
        <sz val="10"/>
        <rFont val="新細明體"/>
        <family val="1"/>
        <charset val="136"/>
      </rPr>
      <t>年間每年攤還本息</t>
    </r>
    <r>
      <rPr>
        <b/>
        <sz val="10"/>
        <rFont val="Times New Roman"/>
        <family val="1"/>
      </rPr>
      <t>:</t>
    </r>
    <phoneticPr fontId="2" type="noConversion"/>
  </si>
  <si>
    <t>Unit: $1,000.</t>
    <phoneticPr fontId="2" type="noConversion"/>
  </si>
  <si>
    <r>
      <t>總開發成本</t>
    </r>
    <r>
      <rPr>
        <b/>
        <sz val="10"/>
        <rFont val="Times New Roman"/>
        <family val="1"/>
      </rPr>
      <t>:</t>
    </r>
    <phoneticPr fontId="2" type="noConversion"/>
  </si>
  <si>
    <r>
      <rPr>
        <b/>
        <sz val="10"/>
        <color indexed="17"/>
        <rFont val="新細明體"/>
        <family val="1"/>
        <charset val="136"/>
      </rPr>
      <t>年</t>
    </r>
    <phoneticPr fontId="2" type="noConversion"/>
  </si>
  <si>
    <r>
      <t>總收入</t>
    </r>
    <r>
      <rPr>
        <b/>
        <sz val="10"/>
        <color indexed="12"/>
        <rFont val="Times New Roman"/>
        <family val="1"/>
      </rPr>
      <t xml:space="preserve"> EGI</t>
    </r>
    <phoneticPr fontId="2" type="noConversion"/>
  </si>
  <si>
    <r>
      <t>總支出</t>
    </r>
    <r>
      <rPr>
        <b/>
        <sz val="10"/>
        <color indexed="53"/>
        <rFont val="Times New Roman"/>
        <family val="1"/>
      </rPr>
      <t xml:space="preserve"> OE</t>
    </r>
    <phoneticPr fontId="2" type="noConversion"/>
  </si>
  <si>
    <r>
      <t>淨營運收益</t>
    </r>
    <r>
      <rPr>
        <b/>
        <sz val="10"/>
        <color indexed="61"/>
        <rFont val="Times New Roman"/>
        <family val="1"/>
      </rPr>
      <t xml:space="preserve"> NOI</t>
    </r>
    <phoneticPr fontId="2" type="noConversion"/>
  </si>
  <si>
    <r>
      <t xml:space="preserve">  </t>
    </r>
    <r>
      <rPr>
        <b/>
        <sz val="10"/>
        <rFont val="新細明體"/>
        <family val="1"/>
        <charset val="136"/>
      </rPr>
      <t>減</t>
    </r>
    <r>
      <rPr>
        <b/>
        <sz val="10"/>
        <rFont val="Times New Roman"/>
        <family val="1"/>
      </rPr>
      <t xml:space="preserve"> </t>
    </r>
    <r>
      <rPr>
        <b/>
        <sz val="10"/>
        <rFont val="新細明體"/>
        <family val="1"/>
        <charset val="136"/>
      </rPr>
      <t>償債支出</t>
    </r>
    <r>
      <rPr>
        <b/>
        <sz val="10"/>
        <rFont val="Times New Roman"/>
        <family val="1"/>
      </rPr>
      <t xml:space="preserve"> DS</t>
    </r>
    <phoneticPr fontId="2" type="noConversion"/>
  </si>
  <si>
    <r>
      <t xml:space="preserve">  </t>
    </r>
    <r>
      <rPr>
        <b/>
        <sz val="10"/>
        <rFont val="新細明體"/>
        <family val="1"/>
        <charset val="136"/>
      </rPr>
      <t>加</t>
    </r>
    <r>
      <rPr>
        <b/>
        <sz val="10"/>
        <rFont val="Times New Roman"/>
        <family val="1"/>
      </rPr>
      <t xml:space="preserve"> </t>
    </r>
    <r>
      <rPr>
        <b/>
        <sz val="10"/>
        <rFont val="新細明體"/>
        <family val="1"/>
        <charset val="136"/>
      </rPr>
      <t>期末專案經濟價值</t>
    </r>
    <r>
      <rPr>
        <b/>
        <sz val="10"/>
        <rFont val="Times New Roman"/>
        <family val="1"/>
      </rPr>
      <t xml:space="preserve"> Reversionary Value</t>
    </r>
    <phoneticPr fontId="2" type="noConversion"/>
  </si>
  <si>
    <r>
      <t xml:space="preserve">  </t>
    </r>
    <r>
      <rPr>
        <b/>
        <sz val="10"/>
        <rFont val="新細明體"/>
        <family val="1"/>
        <charset val="136"/>
      </rPr>
      <t>減</t>
    </r>
    <r>
      <rPr>
        <b/>
        <sz val="10"/>
        <rFont val="Times New Roman"/>
        <family val="1"/>
      </rPr>
      <t xml:space="preserve"> </t>
    </r>
    <r>
      <rPr>
        <b/>
        <sz val="10"/>
        <rFont val="新細明體"/>
        <family val="1"/>
        <charset val="136"/>
      </rPr>
      <t>期末貸款餘額</t>
    </r>
    <r>
      <rPr>
        <b/>
        <sz val="10"/>
        <rFont val="Times New Roman"/>
        <family val="1"/>
      </rPr>
      <t xml:space="preserve"> Loan Balance</t>
    </r>
    <phoneticPr fontId="2" type="noConversion"/>
  </si>
  <si>
    <r>
      <t>淨營運收益</t>
    </r>
    <r>
      <rPr>
        <b/>
        <sz val="10"/>
        <color indexed="53"/>
        <rFont val="Times New Roman"/>
        <family val="1"/>
      </rPr>
      <t xml:space="preserve"> NOI(</t>
    </r>
    <r>
      <rPr>
        <b/>
        <sz val="10"/>
        <color indexed="53"/>
        <rFont val="新細明體"/>
        <family val="1"/>
        <charset val="136"/>
      </rPr>
      <t>含期末專案經濟價值</t>
    </r>
    <r>
      <rPr>
        <b/>
        <sz val="10"/>
        <color indexed="53"/>
        <rFont val="Times New Roman"/>
        <family val="1"/>
      </rPr>
      <t>)</t>
    </r>
    <phoneticPr fontId="2" type="noConversion"/>
  </si>
  <si>
    <r>
      <t xml:space="preserve">  </t>
    </r>
    <r>
      <rPr>
        <b/>
        <sz val="10"/>
        <rFont val="新細明體"/>
        <family val="1"/>
        <charset val="136"/>
      </rPr>
      <t>減</t>
    </r>
    <r>
      <rPr>
        <b/>
        <sz val="10"/>
        <rFont val="Times New Roman"/>
        <family val="1"/>
      </rPr>
      <t xml:space="preserve"> </t>
    </r>
    <r>
      <rPr>
        <b/>
        <sz val="10"/>
        <rFont val="新細明體"/>
        <family val="1"/>
        <charset val="136"/>
      </rPr>
      <t>利息</t>
    </r>
    <r>
      <rPr>
        <b/>
        <sz val="10"/>
        <rFont val="Times New Roman"/>
        <family val="1"/>
      </rPr>
      <t xml:space="preserve"> -Int</t>
    </r>
    <phoneticPr fontId="2" type="noConversion"/>
  </si>
  <si>
    <r>
      <t xml:space="preserve">  </t>
    </r>
    <r>
      <rPr>
        <b/>
        <sz val="10"/>
        <rFont val="新細明體"/>
        <family val="1"/>
        <charset val="136"/>
      </rPr>
      <t>減</t>
    </r>
    <r>
      <rPr>
        <b/>
        <sz val="10"/>
        <rFont val="Times New Roman"/>
        <family val="1"/>
      </rPr>
      <t xml:space="preserve"> </t>
    </r>
    <r>
      <rPr>
        <b/>
        <sz val="10"/>
        <rFont val="新細明體"/>
        <family val="1"/>
        <charset val="136"/>
      </rPr>
      <t>折舊</t>
    </r>
    <r>
      <rPr>
        <b/>
        <sz val="10"/>
        <rFont val="Times New Roman"/>
        <family val="1"/>
      </rPr>
      <t xml:space="preserve"> -Dep.</t>
    </r>
    <phoneticPr fontId="2" type="noConversion"/>
  </si>
  <si>
    <r>
      <t xml:space="preserve">  </t>
    </r>
    <r>
      <rPr>
        <b/>
        <sz val="10"/>
        <rFont val="細明體"/>
        <family val="3"/>
        <charset val="136"/>
      </rPr>
      <t>減</t>
    </r>
    <r>
      <rPr>
        <b/>
        <sz val="10"/>
        <rFont val="Times New Roman"/>
        <family val="1"/>
      </rPr>
      <t xml:space="preserve"> </t>
    </r>
    <r>
      <rPr>
        <b/>
        <sz val="10"/>
        <rFont val="細明體"/>
        <family val="3"/>
        <charset val="136"/>
      </rPr>
      <t>建物期初成本</t>
    </r>
    <r>
      <rPr>
        <b/>
        <sz val="10"/>
        <rFont val="Times New Roman"/>
        <family val="1"/>
      </rPr>
      <t xml:space="preserve"> -Initial Bldg Cost</t>
    </r>
    <phoneticPr fontId="2" type="noConversion"/>
  </si>
  <si>
    <r>
      <t>可課稅所得</t>
    </r>
    <r>
      <rPr>
        <b/>
        <sz val="10"/>
        <color indexed="12"/>
        <rFont val="Times New Roman"/>
        <family val="1"/>
      </rPr>
      <t xml:space="preserve"> Taxable Income</t>
    </r>
    <phoneticPr fontId="2" type="noConversion"/>
  </si>
  <si>
    <r>
      <t xml:space="preserve">  </t>
    </r>
    <r>
      <rPr>
        <b/>
        <sz val="10"/>
        <color indexed="12"/>
        <rFont val="新細明體"/>
        <family val="1"/>
        <charset val="136"/>
      </rPr>
      <t>乘</t>
    </r>
    <r>
      <rPr>
        <b/>
        <sz val="10"/>
        <color indexed="12"/>
        <rFont val="Times New Roman"/>
        <family val="1"/>
      </rPr>
      <t xml:space="preserve"> </t>
    </r>
    <r>
      <rPr>
        <b/>
        <sz val="10"/>
        <color indexed="12"/>
        <rFont val="新細明體"/>
        <family val="1"/>
        <charset val="136"/>
      </rPr>
      <t>稅率</t>
    </r>
    <r>
      <rPr>
        <b/>
        <sz val="10"/>
        <color indexed="12"/>
        <rFont val="Times New Roman"/>
        <family val="1"/>
      </rPr>
      <t xml:space="preserve"> Tax Rate</t>
    </r>
    <phoneticPr fontId="2" type="noConversion"/>
  </si>
  <si>
    <r>
      <t>稅賦</t>
    </r>
    <r>
      <rPr>
        <b/>
        <sz val="10"/>
        <color indexed="17"/>
        <rFont val="Times New Roman"/>
        <family val="1"/>
      </rPr>
      <t xml:space="preserve">  Tax</t>
    </r>
    <phoneticPr fontId="2" type="noConversion"/>
  </si>
  <si>
    <r>
      <t>債務保障比率</t>
    </r>
    <r>
      <rPr>
        <b/>
        <sz val="10"/>
        <rFont val="Times New Roman"/>
        <family val="1"/>
      </rPr>
      <t xml:space="preserve"> DCR</t>
    </r>
    <phoneticPr fontId="2" type="noConversion"/>
  </si>
  <si>
    <r>
      <t>內部報酬率</t>
    </r>
    <r>
      <rPr>
        <b/>
        <sz val="10"/>
        <rFont val="Times New Roman"/>
        <family val="1"/>
      </rPr>
      <t xml:space="preserve"> IRR</t>
    </r>
    <phoneticPr fontId="2" type="noConversion"/>
  </si>
  <si>
    <r>
      <t>淨現值</t>
    </r>
    <r>
      <rPr>
        <b/>
        <sz val="10"/>
        <rFont val="Times New Roman"/>
        <family val="1"/>
      </rPr>
      <t xml:space="preserve"> (NPV,8%)</t>
    </r>
    <phoneticPr fontId="2" type="noConversion"/>
  </si>
  <si>
    <t>Food Income</t>
    <phoneticPr fontId="2" type="noConversion"/>
  </si>
  <si>
    <t>Food Exp.</t>
    <phoneticPr fontId="2" type="noConversion"/>
  </si>
  <si>
    <t>Maintenance</t>
    <phoneticPr fontId="2" type="noConversion"/>
  </si>
  <si>
    <t>Total Operating Expenses</t>
    <phoneticPr fontId="2" type="noConversion"/>
  </si>
  <si>
    <t>Net Operating Income</t>
    <phoneticPr fontId="2" type="noConversion"/>
  </si>
  <si>
    <t>Debt Service</t>
    <phoneticPr fontId="2" type="noConversion"/>
  </si>
  <si>
    <t>\</t>
    <phoneticPr fontId="2" type="noConversion"/>
  </si>
  <si>
    <t>B/E 住房率(%):</t>
    <phoneticPr fontId="2" type="noConversion"/>
  </si>
  <si>
    <t>(B/E Occ. Rate %)</t>
    <phoneticPr fontId="2" type="noConversion"/>
  </si>
  <si>
    <t>註: 當第一年之住房率為43.12%時, 使得IRR=8%, NPV=0, 此即投資者之損益平衡點.</t>
    <phoneticPr fontId="2" type="noConversion"/>
  </si>
  <si>
    <t>Note: As the Occupancy rate of the 1st yr reaches 43.12%, the IRR=8% and NPV=0, which is the break-even (B/E) Occupance rate.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</si>
</sst>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%"/>
    <numFmt numFmtId="177" formatCode="#,##0_ ;[Red]\-#,##0\ "/>
  </numFmts>
  <fonts count="3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17"/>
      <name val="新細明體"/>
      <family val="1"/>
      <charset val="136"/>
    </font>
    <font>
      <sz val="10"/>
      <color indexed="17"/>
      <name val="Times New Roman"/>
      <family val="1"/>
    </font>
    <font>
      <sz val="10"/>
      <color indexed="12"/>
      <name val="新細明體"/>
      <family val="1"/>
      <charset val="136"/>
    </font>
    <font>
      <sz val="10"/>
      <color indexed="53"/>
      <name val="新細明體"/>
      <family val="1"/>
      <charset val="136"/>
    </font>
    <font>
      <sz val="10"/>
      <color indexed="61"/>
      <name val="新細明體"/>
      <family val="1"/>
      <charset val="136"/>
    </font>
    <font>
      <sz val="10"/>
      <color indexed="14"/>
      <name val="新細明體"/>
      <family val="1"/>
      <charset val="136"/>
    </font>
    <font>
      <sz val="10"/>
      <color indexed="20"/>
      <name val="新細明體"/>
      <family val="1"/>
      <charset val="136"/>
    </font>
    <font>
      <vertAlign val="superscript"/>
      <sz val="9"/>
      <name val="新細明體"/>
      <family val="1"/>
      <charset val="136"/>
    </font>
    <font>
      <sz val="12"/>
      <color indexed="17"/>
      <name val="Times New Roman"/>
      <family val="1"/>
    </font>
    <font>
      <sz val="12"/>
      <color indexed="12"/>
      <name val="新細明體"/>
      <family val="1"/>
      <charset val="136"/>
    </font>
    <font>
      <sz val="12"/>
      <color indexed="53"/>
      <name val="新細明體"/>
      <family val="1"/>
      <charset val="136"/>
    </font>
    <font>
      <sz val="12"/>
      <color indexed="61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name val="Times New Roman"/>
      <family val="1"/>
    </font>
    <font>
      <b/>
      <sz val="12"/>
      <name val="新細明體"/>
      <family val="1"/>
      <charset val="136"/>
    </font>
    <font>
      <b/>
      <sz val="10"/>
      <color indexed="17"/>
      <name val="Times New Roman"/>
      <family val="1"/>
    </font>
    <font>
      <b/>
      <sz val="10"/>
      <color indexed="17"/>
      <name val="新細明體"/>
      <family val="1"/>
      <charset val="136"/>
    </font>
    <font>
      <b/>
      <sz val="10"/>
      <color indexed="12"/>
      <name val="新細明體"/>
      <family val="1"/>
      <charset val="136"/>
    </font>
    <font>
      <b/>
      <sz val="10"/>
      <color indexed="12"/>
      <name val="Times New Roman"/>
      <family val="1"/>
    </font>
    <font>
      <b/>
      <sz val="10"/>
      <color indexed="53"/>
      <name val="新細明體"/>
      <family val="1"/>
      <charset val="136"/>
    </font>
    <font>
      <b/>
      <sz val="10"/>
      <color indexed="53"/>
      <name val="Times New Roman"/>
      <family val="1"/>
    </font>
    <font>
      <b/>
      <sz val="10"/>
      <color indexed="61"/>
      <name val="新細明體"/>
      <family val="1"/>
      <charset val="136"/>
    </font>
    <font>
      <b/>
      <sz val="10"/>
      <color indexed="61"/>
      <name val="Times New Roman"/>
      <family val="1"/>
    </font>
    <font>
      <b/>
      <sz val="10"/>
      <name val="細明體"/>
      <family val="3"/>
      <charset val="136"/>
    </font>
    <font>
      <sz val="10"/>
      <color theme="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0">
    <xf numFmtId="0" fontId="0" fillId="0" borderId="0" xfId="0"/>
    <xf numFmtId="38" fontId="3" fillId="0" borderId="0" xfId="0" applyNumberFormat="1" applyFont="1" applyProtection="1"/>
    <xf numFmtId="38" fontId="3" fillId="0" borderId="0" xfId="0" applyNumberFormat="1" applyFont="1"/>
    <xf numFmtId="38" fontId="7" fillId="0" borderId="1" xfId="0" applyNumberFormat="1" applyFont="1" applyBorder="1"/>
    <xf numFmtId="38" fontId="8" fillId="0" borderId="1" xfId="0" applyNumberFormat="1" applyFont="1" applyBorder="1"/>
    <xf numFmtId="38" fontId="9" fillId="0" borderId="0" xfId="0" applyNumberFormat="1" applyFont="1"/>
    <xf numFmtId="38" fontId="3" fillId="0" borderId="1" xfId="0" applyNumberFormat="1" applyFont="1" applyBorder="1"/>
    <xf numFmtId="38" fontId="5" fillId="0" borderId="2" xfId="0" applyNumberFormat="1" applyFont="1" applyBorder="1"/>
    <xf numFmtId="38" fontId="8" fillId="0" borderId="0" xfId="0" applyNumberFormat="1" applyFont="1"/>
    <xf numFmtId="38" fontId="7" fillId="0" borderId="0" xfId="0" applyNumberFormat="1" applyFont="1"/>
    <xf numFmtId="40" fontId="3" fillId="0" borderId="3" xfId="0" applyNumberFormat="1" applyFont="1" applyBorder="1"/>
    <xf numFmtId="38" fontId="3" fillId="0" borderId="5" xfId="0" applyNumberFormat="1" applyFont="1" applyBorder="1"/>
    <xf numFmtId="38" fontId="11" fillId="0" borderId="0" xfId="0" applyNumberFormat="1" applyFont="1"/>
    <xf numFmtId="40" fontId="7" fillId="0" borderId="0" xfId="0" applyNumberFormat="1" applyFont="1"/>
    <xf numFmtId="10" fontId="3" fillId="2" borderId="5" xfId="0" applyNumberFormat="1" applyFont="1" applyFill="1" applyBorder="1"/>
    <xf numFmtId="38" fontId="3" fillId="0" borderId="0" xfId="0" applyNumberFormat="1" applyFont="1" applyBorder="1"/>
    <xf numFmtId="38" fontId="5" fillId="0" borderId="0" xfId="0" applyNumberFormat="1" applyFont="1" applyBorder="1"/>
    <xf numFmtId="38" fontId="7" fillId="0" borderId="0" xfId="0" applyNumberFormat="1" applyFont="1" applyBorder="1"/>
    <xf numFmtId="38" fontId="8" fillId="0" borderId="0" xfId="0" applyNumberFormat="1" applyFont="1" applyBorder="1"/>
    <xf numFmtId="38" fontId="9" fillId="0" borderId="0" xfId="0" applyNumberFormat="1" applyFont="1" applyBorder="1"/>
    <xf numFmtId="38" fontId="4" fillId="0" borderId="0" xfId="0" applyNumberFormat="1" applyFont="1" applyBorder="1"/>
    <xf numFmtId="40" fontId="7" fillId="0" borderId="0" xfId="0" applyNumberFormat="1" applyFont="1" applyBorder="1"/>
    <xf numFmtId="40" fontId="3" fillId="0" borderId="0" xfId="0" applyNumberFormat="1" applyFont="1" applyBorder="1"/>
    <xf numFmtId="38" fontId="3" fillId="0" borderId="8" xfId="0" applyNumberFormat="1" applyFont="1" applyBorder="1" applyProtection="1"/>
    <xf numFmtId="38" fontId="3" fillId="0" borderId="9" xfId="0" applyNumberFormat="1" applyFont="1" applyBorder="1"/>
    <xf numFmtId="38" fontId="7" fillId="0" borderId="11" xfId="0" applyNumberFormat="1" applyFont="1" applyBorder="1"/>
    <xf numFmtId="38" fontId="8" fillId="0" borderId="11" xfId="0" applyNumberFormat="1" applyFont="1" applyBorder="1"/>
    <xf numFmtId="38" fontId="9" fillId="0" borderId="9" xfId="0" applyNumberFormat="1" applyFont="1" applyBorder="1"/>
    <xf numFmtId="38" fontId="3" fillId="0" borderId="11" xfId="0" applyNumberFormat="1" applyFont="1" applyBorder="1"/>
    <xf numFmtId="38" fontId="5" fillId="0" borderId="13" xfId="0" applyNumberFormat="1" applyFont="1" applyBorder="1"/>
    <xf numFmtId="40" fontId="3" fillId="0" borderId="14" xfId="0" applyNumberFormat="1" applyFont="1" applyBorder="1" applyProtection="1"/>
    <xf numFmtId="40" fontId="3" fillId="0" borderId="15" xfId="0" applyNumberFormat="1" applyFont="1" applyBorder="1"/>
    <xf numFmtId="38" fontId="3" fillId="0" borderId="16" xfId="0" applyNumberFormat="1" applyFont="1" applyBorder="1" applyProtection="1"/>
    <xf numFmtId="38" fontId="3" fillId="0" borderId="17" xfId="0" applyNumberFormat="1" applyFont="1" applyBorder="1"/>
    <xf numFmtId="38" fontId="3" fillId="0" borderId="18" xfId="0" applyNumberFormat="1" applyFont="1" applyBorder="1" applyProtection="1"/>
    <xf numFmtId="38" fontId="3" fillId="0" borderId="19" xfId="0" applyNumberFormat="1" applyFont="1" applyBorder="1"/>
    <xf numFmtId="38" fontId="3" fillId="0" borderId="20" xfId="0" applyNumberFormat="1" applyFont="1" applyBorder="1"/>
    <xf numFmtId="38" fontId="3" fillId="0" borderId="21" xfId="0" applyNumberFormat="1" applyFont="1" applyBorder="1"/>
    <xf numFmtId="38" fontId="3" fillId="0" borderId="22" xfId="0" applyNumberFormat="1" applyFont="1" applyBorder="1"/>
    <xf numFmtId="38" fontId="3" fillId="0" borderId="23" xfId="0" applyNumberFormat="1" applyFont="1" applyBorder="1"/>
    <xf numFmtId="38" fontId="8" fillId="4" borderId="0" xfId="0" applyNumberFormat="1" applyFont="1" applyFill="1" applyBorder="1"/>
    <xf numFmtId="38" fontId="8" fillId="4" borderId="9" xfId="0" applyNumberFormat="1" applyFont="1" applyFill="1" applyBorder="1"/>
    <xf numFmtId="38" fontId="3" fillId="4" borderId="0" xfId="0" applyNumberFormat="1" applyFont="1" applyFill="1" applyBorder="1"/>
    <xf numFmtId="38" fontId="3" fillId="4" borderId="9" xfId="0" applyNumberFormat="1" applyFont="1" applyFill="1" applyBorder="1"/>
    <xf numFmtId="38" fontId="7" fillId="4" borderId="0" xfId="0" applyNumberFormat="1" applyFont="1" applyFill="1" applyBorder="1"/>
    <xf numFmtId="38" fontId="7" fillId="4" borderId="9" xfId="0" applyNumberFormat="1" applyFont="1" applyFill="1" applyBorder="1"/>
    <xf numFmtId="40" fontId="7" fillId="4" borderId="0" xfId="0" applyNumberFormat="1" applyFont="1" applyFill="1" applyBorder="1"/>
    <xf numFmtId="38" fontId="5" fillId="4" borderId="2" xfId="0" applyNumberFormat="1" applyFont="1" applyFill="1" applyBorder="1"/>
    <xf numFmtId="38" fontId="5" fillId="4" borderId="13" xfId="0" applyNumberFormat="1" applyFont="1" applyFill="1" applyBorder="1"/>
    <xf numFmtId="9" fontId="7" fillId="4" borderId="0" xfId="1" applyFont="1" applyFill="1" applyBorder="1"/>
    <xf numFmtId="9" fontId="7" fillId="4" borderId="9" xfId="1" applyFont="1" applyFill="1" applyBorder="1"/>
    <xf numFmtId="38" fontId="3" fillId="0" borderId="24" xfId="0" applyNumberFormat="1" applyFont="1" applyBorder="1"/>
    <xf numFmtId="38" fontId="2" fillId="0" borderId="0" xfId="0" applyNumberFormat="1" applyFont="1" applyProtection="1"/>
    <xf numFmtId="38" fontId="2" fillId="0" borderId="0" xfId="0" applyNumberFormat="1" applyFont="1"/>
    <xf numFmtId="38" fontId="2" fillId="0" borderId="24" xfId="0" applyNumberFormat="1" applyFont="1" applyBorder="1"/>
    <xf numFmtId="38" fontId="2" fillId="0" borderId="0" xfId="0" applyNumberFormat="1" applyFont="1" applyBorder="1"/>
    <xf numFmtId="38" fontId="5" fillId="0" borderId="25" xfId="0" applyNumberFormat="1" applyFont="1" applyBorder="1"/>
    <xf numFmtId="40" fontId="3" fillId="0" borderId="26" xfId="0" applyNumberFormat="1" applyFont="1" applyBorder="1"/>
    <xf numFmtId="38" fontId="3" fillId="0" borderId="27" xfId="0" applyNumberFormat="1" applyFont="1" applyBorder="1"/>
    <xf numFmtId="38" fontId="3" fillId="0" borderId="7" xfId="0" applyNumberFormat="1" applyFont="1" applyBorder="1"/>
    <xf numFmtId="38" fontId="3" fillId="0" borderId="6" xfId="0" applyNumberFormat="1" applyFont="1" applyBorder="1"/>
    <xf numFmtId="38" fontId="7" fillId="0" borderId="6" xfId="0" applyNumberFormat="1" applyFont="1" applyBorder="1"/>
    <xf numFmtId="38" fontId="8" fillId="0" borderId="6" xfId="0" applyNumberFormat="1" applyFont="1" applyBorder="1"/>
    <xf numFmtId="38" fontId="9" fillId="0" borderId="7" xfId="0" applyNumberFormat="1" applyFont="1" applyBorder="1"/>
    <xf numFmtId="38" fontId="5" fillId="0" borderId="28" xfId="0" applyNumberFormat="1" applyFont="1" applyBorder="1"/>
    <xf numFmtId="38" fontId="8" fillId="4" borderId="7" xfId="0" applyNumberFormat="1" applyFont="1" applyFill="1" applyBorder="1"/>
    <xf numFmtId="38" fontId="3" fillId="4" borderId="7" xfId="0" applyNumberFormat="1" applyFont="1" applyFill="1" applyBorder="1"/>
    <xf numFmtId="38" fontId="7" fillId="4" borderId="7" xfId="0" applyNumberFormat="1" applyFont="1" applyFill="1" applyBorder="1"/>
    <xf numFmtId="40" fontId="7" fillId="4" borderId="7" xfId="0" applyNumberFormat="1" applyFont="1" applyFill="1" applyBorder="1"/>
    <xf numFmtId="38" fontId="5" fillId="4" borderId="28" xfId="0" applyNumberFormat="1" applyFont="1" applyFill="1" applyBorder="1"/>
    <xf numFmtId="40" fontId="3" fillId="0" borderId="29" xfId="0" applyNumberFormat="1" applyFont="1" applyBorder="1"/>
    <xf numFmtId="10" fontId="3" fillId="2" borderId="4" xfId="0" applyNumberFormat="1" applyFont="1" applyFill="1" applyBorder="1"/>
    <xf numFmtId="38" fontId="7" fillId="0" borderId="3" xfId="0" applyNumberFormat="1" applyFont="1" applyBorder="1"/>
    <xf numFmtId="38" fontId="7" fillId="0" borderId="15" xfId="0" applyNumberFormat="1" applyFont="1" applyBorder="1"/>
    <xf numFmtId="38" fontId="8" fillId="0" borderId="3" xfId="0" applyNumberFormat="1" applyFont="1" applyBorder="1"/>
    <xf numFmtId="38" fontId="8" fillId="0" borderId="15" xfId="0" applyNumberFormat="1" applyFont="1" applyBorder="1"/>
    <xf numFmtId="38" fontId="3" fillId="0" borderId="31" xfId="0" applyNumberFormat="1" applyFont="1" applyBorder="1"/>
    <xf numFmtId="38" fontId="5" fillId="0" borderId="32" xfId="0" applyNumberFormat="1" applyFont="1" applyBorder="1" applyAlignment="1" applyProtection="1">
      <alignment horizontal="center"/>
    </xf>
    <xf numFmtId="38" fontId="5" fillId="0" borderId="0" xfId="0" applyNumberFormat="1" applyFont="1" applyAlignment="1">
      <alignment horizontal="center"/>
    </xf>
    <xf numFmtId="38" fontId="5" fillId="0" borderId="33" xfId="0" applyNumberFormat="1" applyFont="1" applyBorder="1" applyAlignment="1">
      <alignment horizontal="center"/>
    </xf>
    <xf numFmtId="38" fontId="5" fillId="0" borderId="34" xfId="0" applyNumberFormat="1" applyFont="1" applyBorder="1" applyAlignment="1">
      <alignment horizontal="center"/>
    </xf>
    <xf numFmtId="38" fontId="6" fillId="0" borderId="34" xfId="0" applyNumberFormat="1" applyFont="1" applyBorder="1" applyAlignment="1">
      <alignment horizontal="center"/>
    </xf>
    <xf numFmtId="38" fontId="5" fillId="0" borderId="35" xfId="0" applyNumberFormat="1" applyFont="1" applyBorder="1" applyAlignment="1">
      <alignment horizontal="center"/>
    </xf>
    <xf numFmtId="38" fontId="7" fillId="0" borderId="23" xfId="0" applyNumberFormat="1" applyFont="1" applyBorder="1"/>
    <xf numFmtId="38" fontId="8" fillId="0" borderId="23" xfId="0" applyNumberFormat="1" applyFont="1" applyBorder="1"/>
    <xf numFmtId="38" fontId="8" fillId="4" borderId="22" xfId="0" applyNumberFormat="1" applyFont="1" applyFill="1" applyBorder="1"/>
    <xf numFmtId="38" fontId="3" fillId="4" borderId="22" xfId="0" applyNumberFormat="1" applyFont="1" applyFill="1" applyBorder="1"/>
    <xf numFmtId="38" fontId="7" fillId="4" borderId="22" xfId="0" applyNumberFormat="1" applyFont="1" applyFill="1" applyBorder="1"/>
    <xf numFmtId="40" fontId="7" fillId="4" borderId="22" xfId="0" applyNumberFormat="1" applyFont="1" applyFill="1" applyBorder="1"/>
    <xf numFmtId="38" fontId="5" fillId="4" borderId="25" xfId="0" applyNumberFormat="1" applyFont="1" applyFill="1" applyBorder="1"/>
    <xf numFmtId="40" fontId="7" fillId="4" borderId="9" xfId="0" applyNumberFormat="1" applyFont="1" applyFill="1" applyBorder="1"/>
    <xf numFmtId="38" fontId="11" fillId="0" borderId="0" xfId="0" applyNumberFormat="1" applyFont="1" applyBorder="1"/>
    <xf numFmtId="38" fontId="11" fillId="0" borderId="9" xfId="0" applyNumberFormat="1" applyFont="1" applyBorder="1"/>
    <xf numFmtId="38" fontId="11" fillId="0" borderId="22" xfId="0" applyNumberFormat="1" applyFont="1" applyBorder="1"/>
    <xf numFmtId="10" fontId="3" fillId="2" borderId="21" xfId="0" applyNumberFormat="1" applyFont="1" applyFill="1" applyBorder="1"/>
    <xf numFmtId="38" fontId="2" fillId="0" borderId="24" xfId="0" applyNumberFormat="1" applyFont="1" applyBorder="1" applyProtection="1"/>
    <xf numFmtId="38" fontId="2" fillId="0" borderId="0" xfId="0" applyNumberFormat="1" applyFont="1" applyBorder="1" applyProtection="1"/>
    <xf numFmtId="38" fontId="3" fillId="0" borderId="24" xfId="0" applyNumberFormat="1" applyFont="1" applyBorder="1" applyProtection="1"/>
    <xf numFmtId="38" fontId="3" fillId="4" borderId="19" xfId="0" applyNumberFormat="1" applyFont="1" applyFill="1" applyBorder="1"/>
    <xf numFmtId="38" fontId="3" fillId="4" borderId="30" xfId="0" applyNumberFormat="1" applyFont="1" applyFill="1" applyBorder="1"/>
    <xf numFmtId="38" fontId="3" fillId="4" borderId="20" xfId="0" applyNumberFormat="1" applyFont="1" applyFill="1" applyBorder="1"/>
    <xf numFmtId="38" fontId="3" fillId="4" borderId="31" xfId="0" applyNumberFormat="1" applyFont="1" applyFill="1" applyBorder="1"/>
    <xf numFmtId="177" fontId="3" fillId="3" borderId="30" xfId="0" applyNumberFormat="1" applyFont="1" applyFill="1" applyBorder="1"/>
    <xf numFmtId="38" fontId="13" fillId="0" borderId="34" xfId="0" applyNumberFormat="1" applyFont="1" applyBorder="1" applyAlignment="1">
      <alignment horizontal="center"/>
    </xf>
    <xf numFmtId="177" fontId="3" fillId="3" borderId="0" xfId="0" applyNumberFormat="1" applyFont="1" applyFill="1" applyBorder="1"/>
    <xf numFmtId="38" fontId="0" fillId="0" borderId="5" xfId="0" applyNumberFormat="1" applyFont="1" applyBorder="1"/>
    <xf numFmtId="38" fontId="0" fillId="0" borderId="0" xfId="0" applyNumberFormat="1" applyFont="1" applyBorder="1"/>
    <xf numFmtId="38" fontId="0" fillId="0" borderId="1" xfId="0" applyNumberFormat="1" applyFont="1" applyBorder="1"/>
    <xf numFmtId="38" fontId="0" fillId="0" borderId="0" xfId="0" applyNumberFormat="1" applyFont="1"/>
    <xf numFmtId="38" fontId="14" fillId="0" borderId="3" xfId="0" applyNumberFormat="1" applyFont="1" applyBorder="1"/>
    <xf numFmtId="38" fontId="15" fillId="0" borderId="3" xfId="0" applyNumberFormat="1" applyFont="1" applyBorder="1"/>
    <xf numFmtId="38" fontId="16" fillId="0" borderId="0" xfId="0" applyNumberFormat="1" applyFont="1" applyBorder="1"/>
    <xf numFmtId="38" fontId="17" fillId="0" borderId="2" xfId="0" applyNumberFormat="1" applyFont="1" applyBorder="1"/>
    <xf numFmtId="38" fontId="15" fillId="4" borderId="0" xfId="0" applyNumberFormat="1" applyFont="1" applyFill="1" applyBorder="1"/>
    <xf numFmtId="38" fontId="0" fillId="4" borderId="0" xfId="0" applyNumberFormat="1" applyFont="1" applyFill="1" applyBorder="1"/>
    <xf numFmtId="38" fontId="0" fillId="4" borderId="19" xfId="0" applyNumberFormat="1" applyFont="1" applyFill="1" applyBorder="1"/>
    <xf numFmtId="38" fontId="14" fillId="4" borderId="0" xfId="0" applyNumberFormat="1" applyFont="1" applyFill="1" applyBorder="1"/>
    <xf numFmtId="40" fontId="14" fillId="4" borderId="0" xfId="0" applyNumberFormat="1" applyFont="1" applyFill="1" applyBorder="1"/>
    <xf numFmtId="38" fontId="17" fillId="4" borderId="2" xfId="0" applyNumberFormat="1" applyFont="1" applyFill="1" applyBorder="1"/>
    <xf numFmtId="40" fontId="0" fillId="0" borderId="3" xfId="0" applyNumberFormat="1" applyFont="1" applyBorder="1"/>
    <xf numFmtId="38" fontId="0" fillId="0" borderId="19" xfId="0" applyNumberFormat="1" applyFont="1" applyBorder="1"/>
    <xf numFmtId="177" fontId="3" fillId="3" borderId="19" xfId="0" applyNumberFormat="1" applyFont="1" applyFill="1" applyBorder="1"/>
    <xf numFmtId="38" fontId="6" fillId="6" borderId="34" xfId="0" applyNumberFormat="1" applyFont="1" applyFill="1" applyBorder="1" applyAlignment="1">
      <alignment horizontal="center"/>
    </xf>
    <xf numFmtId="38" fontId="3" fillId="6" borderId="0" xfId="0" applyNumberFormat="1" applyFont="1" applyFill="1" applyBorder="1"/>
    <xf numFmtId="38" fontId="3" fillId="6" borderId="1" xfId="0" applyNumberFormat="1" applyFont="1" applyFill="1" applyBorder="1"/>
    <xf numFmtId="38" fontId="7" fillId="6" borderId="1" xfId="0" applyNumberFormat="1" applyFont="1" applyFill="1" applyBorder="1"/>
    <xf numFmtId="38" fontId="8" fillId="6" borderId="1" xfId="0" applyNumberFormat="1" applyFont="1" applyFill="1" applyBorder="1"/>
    <xf numFmtId="38" fontId="9" fillId="6" borderId="0" xfId="0" applyNumberFormat="1" applyFont="1" applyFill="1" applyBorder="1"/>
    <xf numFmtId="38" fontId="5" fillId="6" borderId="2" xfId="0" applyNumberFormat="1" applyFont="1" applyFill="1" applyBorder="1"/>
    <xf numFmtId="38" fontId="8" fillId="6" borderId="0" xfId="0" applyNumberFormat="1" applyFont="1" applyFill="1" applyBorder="1"/>
    <xf numFmtId="38" fontId="3" fillId="6" borderId="19" xfId="0" applyNumberFormat="1" applyFont="1" applyFill="1" applyBorder="1"/>
    <xf numFmtId="38" fontId="7" fillId="6" borderId="0" xfId="0" applyNumberFormat="1" applyFont="1" applyFill="1" applyBorder="1"/>
    <xf numFmtId="40" fontId="7" fillId="6" borderId="0" xfId="0" applyNumberFormat="1" applyFont="1" applyFill="1" applyBorder="1"/>
    <xf numFmtId="38" fontId="14" fillId="0" borderId="1" xfId="0" applyNumberFormat="1" applyFont="1" applyBorder="1"/>
    <xf numFmtId="38" fontId="15" fillId="0" borderId="1" xfId="0" applyNumberFormat="1" applyFont="1" applyBorder="1"/>
    <xf numFmtId="38" fontId="0" fillId="0" borderId="24" xfId="0" applyNumberFormat="1" applyFont="1" applyBorder="1"/>
    <xf numFmtId="38" fontId="6" fillId="7" borderId="34" xfId="0" applyNumberFormat="1" applyFont="1" applyFill="1" applyBorder="1" applyAlignment="1">
      <alignment horizontal="center"/>
    </xf>
    <xf numFmtId="38" fontId="3" fillId="7" borderId="0" xfId="0" applyNumberFormat="1" applyFont="1" applyFill="1" applyBorder="1"/>
    <xf numFmtId="38" fontId="3" fillId="7" borderId="1" xfId="0" applyNumberFormat="1" applyFont="1" applyFill="1" applyBorder="1"/>
    <xf numFmtId="38" fontId="7" fillId="7" borderId="1" xfId="0" applyNumberFormat="1" applyFont="1" applyFill="1" applyBorder="1"/>
    <xf numFmtId="38" fontId="8" fillId="7" borderId="1" xfId="0" applyNumberFormat="1" applyFont="1" applyFill="1" applyBorder="1"/>
    <xf numFmtId="38" fontId="9" fillId="7" borderId="0" xfId="0" applyNumberFormat="1" applyFont="1" applyFill="1" applyBorder="1"/>
    <xf numFmtId="38" fontId="5" fillId="7" borderId="2" xfId="0" applyNumberFormat="1" applyFont="1" applyFill="1" applyBorder="1"/>
    <xf numFmtId="38" fontId="8" fillId="7" borderId="0" xfId="0" applyNumberFormat="1" applyFont="1" applyFill="1" applyBorder="1"/>
    <xf numFmtId="38" fontId="3" fillId="7" borderId="19" xfId="0" applyNumberFormat="1" applyFont="1" applyFill="1" applyBorder="1"/>
    <xf numFmtId="38" fontId="7" fillId="7" borderId="0" xfId="0" applyNumberFormat="1" applyFont="1" applyFill="1" applyBorder="1"/>
    <xf numFmtId="40" fontId="7" fillId="7" borderId="0" xfId="0" applyNumberFormat="1" applyFont="1" applyFill="1" applyBorder="1"/>
    <xf numFmtId="38" fontId="3" fillId="6" borderId="24" xfId="0" applyNumberFormat="1" applyFont="1" applyFill="1" applyBorder="1"/>
    <xf numFmtId="38" fontId="6" fillId="0" borderId="32" xfId="0" applyNumberFormat="1" applyFont="1" applyBorder="1" applyAlignment="1" applyProtection="1">
      <alignment horizontal="center"/>
    </xf>
    <xf numFmtId="38" fontId="6" fillId="0" borderId="33" xfId="0" applyNumberFormat="1" applyFont="1" applyBorder="1" applyAlignment="1">
      <alignment horizontal="center"/>
    </xf>
    <xf numFmtId="38" fontId="6" fillId="0" borderId="35" xfId="0" applyNumberFormat="1" applyFont="1" applyBorder="1" applyAlignment="1">
      <alignment horizontal="center"/>
    </xf>
    <xf numFmtId="38" fontId="6" fillId="0" borderId="0" xfId="0" applyNumberFormat="1" applyFont="1" applyAlignment="1">
      <alignment horizontal="center"/>
    </xf>
    <xf numFmtId="38" fontId="6" fillId="0" borderId="0" xfId="0" applyNumberFormat="1" applyFont="1" applyBorder="1" applyAlignment="1">
      <alignment horizontal="center"/>
    </xf>
    <xf numFmtId="38" fontId="18" fillId="0" borderId="4" xfId="0" applyNumberFormat="1" applyFont="1" applyBorder="1" applyProtection="1"/>
    <xf numFmtId="38" fontId="18" fillId="0" borderId="21" xfId="0" applyNumberFormat="1" applyFont="1" applyBorder="1"/>
    <xf numFmtId="38" fontId="18" fillId="0" borderId="5" xfId="0" applyNumberFormat="1" applyFont="1" applyBorder="1"/>
    <xf numFmtId="38" fontId="18" fillId="0" borderId="21" xfId="0" applyNumberFormat="1" applyFont="1" applyBorder="1" applyAlignment="1">
      <alignment horizontal="right"/>
    </xf>
    <xf numFmtId="38" fontId="18" fillId="0" borderId="0" xfId="0" applyNumberFormat="1" applyFont="1"/>
    <xf numFmtId="38" fontId="18" fillId="0" borderId="7" xfId="0" applyNumberFormat="1" applyFont="1" applyBorder="1" applyProtection="1"/>
    <xf numFmtId="9" fontId="18" fillId="2" borderId="22" xfId="0" applyNumberFormat="1" applyFont="1" applyFill="1" applyBorder="1"/>
    <xf numFmtId="38" fontId="18" fillId="0" borderId="0" xfId="0" applyNumberFormat="1" applyFont="1" applyBorder="1"/>
    <xf numFmtId="38" fontId="18" fillId="0" borderId="22" xfId="0" applyNumberFormat="1" applyFont="1" applyBorder="1"/>
    <xf numFmtId="38" fontId="18" fillId="0" borderId="6" xfId="0" applyNumberFormat="1" applyFont="1" applyBorder="1" applyProtection="1"/>
    <xf numFmtId="38" fontId="18" fillId="0" borderId="23" xfId="0" applyNumberFormat="1" applyFont="1" applyBorder="1"/>
    <xf numFmtId="38" fontId="18" fillId="0" borderId="1" xfId="0" applyNumberFormat="1" applyFont="1" applyBorder="1"/>
    <xf numFmtId="38" fontId="18" fillId="0" borderId="1" xfId="0" applyNumberFormat="1" applyFont="1" applyBorder="1" applyAlignment="1">
      <alignment horizontal="center"/>
    </xf>
    <xf numFmtId="9" fontId="19" fillId="0" borderId="1" xfId="0" applyNumberFormat="1" applyFont="1" applyBorder="1" applyAlignment="1">
      <alignment horizontal="center"/>
    </xf>
    <xf numFmtId="38" fontId="19" fillId="0" borderId="1" xfId="0" applyNumberFormat="1" applyFont="1" applyBorder="1"/>
    <xf numFmtId="38" fontId="18" fillId="0" borderId="1" xfId="0" applyNumberFormat="1" applyFont="1" applyBorder="1" applyAlignment="1">
      <alignment horizontal="right"/>
    </xf>
    <xf numFmtId="38" fontId="18" fillId="0" borderId="0" xfId="0" applyNumberFormat="1" applyFont="1" applyBorder="1" applyProtection="1"/>
    <xf numFmtId="38" fontId="18" fillId="0" borderId="0" xfId="0" applyNumberFormat="1" applyFont="1" applyBorder="1" applyAlignment="1">
      <alignment horizontal="center"/>
    </xf>
    <xf numFmtId="9" fontId="18" fillId="0" borderId="0" xfId="0" applyNumberFormat="1" applyFont="1" applyBorder="1" applyAlignment="1">
      <alignment horizontal="left"/>
    </xf>
    <xf numFmtId="38" fontId="19" fillId="0" borderId="0" xfId="0" applyNumberFormat="1" applyFont="1" applyBorder="1"/>
    <xf numFmtId="38" fontId="18" fillId="0" borderId="0" xfId="0" applyNumberFormat="1" applyFont="1" applyBorder="1" applyAlignment="1">
      <alignment horizontal="left"/>
    </xf>
    <xf numFmtId="9" fontId="18" fillId="2" borderId="0" xfId="0" applyNumberFormat="1" applyFont="1" applyFill="1" applyBorder="1"/>
    <xf numFmtId="9" fontId="18" fillId="0" borderId="1" xfId="0" applyNumberFormat="1" applyFont="1" applyBorder="1" applyAlignment="1">
      <alignment horizontal="center"/>
    </xf>
    <xf numFmtId="38" fontId="18" fillId="0" borderId="1" xfId="0" applyNumberFormat="1" applyFont="1" applyBorder="1" applyAlignment="1">
      <alignment horizontal="left"/>
    </xf>
    <xf numFmtId="38" fontId="18" fillId="0" borderId="0" xfId="0" applyNumberFormat="1" applyFont="1" applyProtection="1"/>
    <xf numFmtId="9" fontId="18" fillId="0" borderId="0" xfId="0" applyNumberFormat="1" applyFont="1"/>
    <xf numFmtId="38" fontId="18" fillId="0" borderId="0" xfId="0" applyNumberFormat="1" applyFont="1" applyAlignment="1">
      <alignment horizontal="center"/>
    </xf>
    <xf numFmtId="38" fontId="19" fillId="0" borderId="0" xfId="0" applyNumberFormat="1" applyFont="1"/>
    <xf numFmtId="38" fontId="18" fillId="0" borderId="0" xfId="0" applyNumberFormat="1" applyFont="1" applyAlignment="1">
      <alignment horizontal="right"/>
    </xf>
    <xf numFmtId="38" fontId="18" fillId="0" borderId="5" xfId="0" applyNumberFormat="1" applyFont="1" applyBorder="1" applyAlignment="1">
      <alignment horizontal="right"/>
    </xf>
    <xf numFmtId="38" fontId="18" fillId="0" borderId="0" xfId="0" applyNumberFormat="1" applyFont="1" applyBorder="1" applyAlignment="1">
      <alignment horizontal="right"/>
    </xf>
    <xf numFmtId="38" fontId="20" fillId="0" borderId="5" xfId="0" applyNumberFormat="1" applyFont="1" applyBorder="1"/>
    <xf numFmtId="38" fontId="20" fillId="0" borderId="0" xfId="0" applyNumberFormat="1" applyFont="1" applyBorder="1"/>
    <xf numFmtId="38" fontId="20" fillId="0" borderId="1" xfId="0" applyNumberFormat="1" applyFont="1" applyBorder="1"/>
    <xf numFmtId="9" fontId="18" fillId="0" borderId="1" xfId="0" applyNumberFormat="1" applyFont="1" applyBorder="1" applyAlignment="1">
      <alignment horizontal="left"/>
    </xf>
    <xf numFmtId="38" fontId="18" fillId="0" borderId="19" xfId="0" applyNumberFormat="1" applyFont="1" applyBorder="1"/>
    <xf numFmtId="38" fontId="20" fillId="0" borderId="0" xfId="0" applyNumberFormat="1" applyFont="1"/>
    <xf numFmtId="9" fontId="18" fillId="0" borderId="0" xfId="0" applyNumberFormat="1" applyFont="1" applyBorder="1"/>
    <xf numFmtId="9" fontId="18" fillId="0" borderId="0" xfId="0" applyNumberFormat="1" applyFont="1" applyAlignment="1">
      <alignment horizontal="left"/>
    </xf>
    <xf numFmtId="38" fontId="18" fillId="0" borderId="0" xfId="0" applyNumberFormat="1" applyFont="1" applyAlignment="1">
      <alignment horizontal="left"/>
    </xf>
    <xf numFmtId="38" fontId="18" fillId="0" borderId="22" xfId="0" applyNumberFormat="1" applyFont="1" applyBorder="1" applyAlignment="1">
      <alignment horizontal="right"/>
    </xf>
    <xf numFmtId="38" fontId="21" fillId="0" borderId="32" xfId="0" applyNumberFormat="1" applyFont="1" applyBorder="1" applyAlignment="1" applyProtection="1">
      <alignment horizontal="center"/>
    </xf>
    <xf numFmtId="38" fontId="21" fillId="0" borderId="33" xfId="0" applyNumberFormat="1" applyFont="1" applyBorder="1" applyAlignment="1">
      <alignment horizontal="center"/>
    </xf>
    <xf numFmtId="38" fontId="18" fillId="0" borderId="8" xfId="0" applyNumberFormat="1" applyFont="1" applyBorder="1" applyProtection="1"/>
    <xf numFmtId="38" fontId="18" fillId="0" borderId="10" xfId="0" applyNumberFormat="1" applyFont="1" applyBorder="1" applyProtection="1"/>
    <xf numFmtId="38" fontId="23" fillId="0" borderId="10" xfId="0" applyNumberFormat="1" applyFont="1" applyBorder="1" applyProtection="1"/>
    <xf numFmtId="38" fontId="23" fillId="0" borderId="23" xfId="0" applyNumberFormat="1" applyFont="1" applyBorder="1"/>
    <xf numFmtId="38" fontId="25" fillId="0" borderId="10" xfId="0" applyNumberFormat="1" applyFont="1" applyBorder="1" applyProtection="1"/>
    <xf numFmtId="38" fontId="25" fillId="0" borderId="23" xfId="0" applyNumberFormat="1" applyFont="1" applyBorder="1"/>
    <xf numFmtId="38" fontId="27" fillId="0" borderId="8" xfId="0" applyNumberFormat="1" applyFont="1" applyBorder="1" applyProtection="1"/>
    <xf numFmtId="38" fontId="27" fillId="0" borderId="22" xfId="0" applyNumberFormat="1" applyFont="1" applyBorder="1"/>
    <xf numFmtId="38" fontId="19" fillId="0" borderId="8" xfId="0" applyNumberFormat="1" applyFont="1" applyBorder="1" applyProtection="1"/>
    <xf numFmtId="38" fontId="19" fillId="0" borderId="10" xfId="0" applyNumberFormat="1" applyFont="1" applyBorder="1" applyProtection="1"/>
    <xf numFmtId="38" fontId="22" fillId="0" borderId="12" xfId="0" applyNumberFormat="1" applyFont="1" applyBorder="1" applyProtection="1"/>
    <xf numFmtId="38" fontId="22" fillId="0" borderId="25" xfId="0" applyNumberFormat="1" applyFont="1" applyBorder="1"/>
    <xf numFmtId="38" fontId="25" fillId="4" borderId="8" xfId="0" applyNumberFormat="1" applyFont="1" applyFill="1" applyBorder="1" applyProtection="1"/>
    <xf numFmtId="38" fontId="25" fillId="4" borderId="22" xfId="0" applyNumberFormat="1" applyFont="1" applyFill="1" applyBorder="1"/>
    <xf numFmtId="38" fontId="19" fillId="4" borderId="8" xfId="0" applyNumberFormat="1" applyFont="1" applyFill="1" applyBorder="1" applyProtection="1"/>
    <xf numFmtId="38" fontId="18" fillId="4" borderId="22" xfId="0" applyNumberFormat="1" applyFont="1" applyFill="1" applyBorder="1"/>
    <xf numFmtId="38" fontId="19" fillId="4" borderId="18" xfId="0" applyNumberFormat="1" applyFont="1" applyFill="1" applyBorder="1" applyProtection="1"/>
    <xf numFmtId="38" fontId="18" fillId="4" borderId="31" xfId="0" applyNumberFormat="1" applyFont="1" applyFill="1" applyBorder="1"/>
    <xf numFmtId="38" fontId="23" fillId="4" borderId="8" xfId="0" applyNumberFormat="1" applyFont="1" applyFill="1" applyBorder="1" applyProtection="1"/>
    <xf numFmtId="38" fontId="23" fillId="4" borderId="22" xfId="0" applyNumberFormat="1" applyFont="1" applyFill="1" applyBorder="1"/>
    <xf numFmtId="40" fontId="24" fillId="4" borderId="8" xfId="0" applyNumberFormat="1" applyFont="1" applyFill="1" applyBorder="1" applyProtection="1"/>
    <xf numFmtId="40" fontId="23" fillId="4" borderId="22" xfId="0" applyNumberFormat="1" applyFont="1" applyFill="1" applyBorder="1"/>
    <xf numFmtId="38" fontId="22" fillId="4" borderId="12" xfId="0" applyNumberFormat="1" applyFont="1" applyFill="1" applyBorder="1" applyProtection="1"/>
    <xf numFmtId="38" fontId="22" fillId="4" borderId="25" xfId="0" applyNumberFormat="1" applyFont="1" applyFill="1" applyBorder="1"/>
    <xf numFmtId="40" fontId="18" fillId="0" borderId="14" xfId="0" applyNumberFormat="1" applyFont="1" applyBorder="1" applyProtection="1"/>
    <xf numFmtId="40" fontId="18" fillId="0" borderId="26" xfId="0" applyNumberFormat="1" applyFont="1" applyBorder="1"/>
    <xf numFmtId="38" fontId="18" fillId="0" borderId="16" xfId="0" applyNumberFormat="1" applyFont="1" applyBorder="1" applyProtection="1"/>
    <xf numFmtId="176" fontId="10" fillId="0" borderId="22" xfId="0" applyNumberFormat="1" applyFont="1" applyFill="1" applyBorder="1"/>
    <xf numFmtId="176" fontId="10" fillId="0" borderId="23" xfId="0" applyNumberFormat="1" applyFont="1" applyFill="1" applyBorder="1"/>
    <xf numFmtId="38" fontId="22" fillId="0" borderId="32" xfId="0" applyNumberFormat="1" applyFont="1" applyBorder="1" applyAlignment="1" applyProtection="1">
      <alignment horizontal="center"/>
    </xf>
    <xf numFmtId="38" fontId="22" fillId="0" borderId="34" xfId="0" applyNumberFormat="1" applyFont="1" applyBorder="1" applyAlignment="1">
      <alignment horizontal="center"/>
    </xf>
    <xf numFmtId="38" fontId="22" fillId="0" borderId="33" xfId="0" applyNumberFormat="1" applyFont="1" applyBorder="1" applyAlignment="1">
      <alignment horizontal="center"/>
    </xf>
    <xf numFmtId="38" fontId="21" fillId="0" borderId="34" xfId="0" applyNumberFormat="1" applyFont="1" applyBorder="1" applyAlignment="1">
      <alignment horizontal="center"/>
    </xf>
    <xf numFmtId="38" fontId="22" fillId="0" borderId="35" xfId="0" applyNumberFormat="1" applyFont="1" applyBorder="1" applyAlignment="1">
      <alignment horizontal="center"/>
    </xf>
    <xf numFmtId="38" fontId="22" fillId="0" borderId="0" xfId="0" applyNumberFormat="1" applyFont="1" applyAlignment="1">
      <alignment horizontal="center"/>
    </xf>
    <xf numFmtId="38" fontId="20" fillId="5" borderId="0" xfId="0" applyNumberFormat="1" applyFont="1" applyFill="1" applyBorder="1"/>
    <xf numFmtId="38" fontId="18" fillId="5" borderId="0" xfId="0" applyNumberFormat="1" applyFont="1" applyFill="1" applyBorder="1"/>
    <xf numFmtId="40" fontId="20" fillId="5" borderId="0" xfId="0" applyNumberFormat="1" applyFont="1" applyFill="1" applyBorder="1"/>
    <xf numFmtId="38" fontId="30" fillId="0" borderId="0" xfId="0" applyNumberFormat="1" applyFont="1" applyBorder="1"/>
    <xf numFmtId="38" fontId="30" fillId="0" borderId="1" xfId="0" applyNumberFormat="1" applyFont="1" applyBorder="1"/>
    <xf numFmtId="177" fontId="3" fillId="3" borderId="22" xfId="0" applyNumberFormat="1" applyFont="1" applyFill="1" applyBorder="1"/>
    <xf numFmtId="38" fontId="7" fillId="7" borderId="3" xfId="0" applyNumberFormat="1" applyFont="1" applyFill="1" applyBorder="1"/>
    <xf numFmtId="38" fontId="8" fillId="7" borderId="3" xfId="0" applyNumberFormat="1" applyFont="1" applyFill="1" applyBorder="1"/>
    <xf numFmtId="38" fontId="11" fillId="7" borderId="0" xfId="0" applyNumberFormat="1" applyFont="1" applyFill="1" applyBorder="1"/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="130" zoomScaleNormal="130" workbookViewId="0">
      <pane xSplit="2" ySplit="5" topLeftCell="C22" activePane="bottomRight" state="frozen"/>
      <selection activeCell="O29" sqref="O29"/>
      <selection pane="topRight" activeCell="O29" sqref="O29"/>
      <selection pane="bottomLeft" activeCell="O29" sqref="O29"/>
      <selection pane="bottomRight" activeCell="C17" sqref="C17"/>
    </sheetView>
  </sheetViews>
  <sheetFormatPr defaultColWidth="11.875" defaultRowHeight="14.25" x14ac:dyDescent="0.25"/>
  <cols>
    <col min="1" max="1" width="26" style="1" customWidth="1"/>
    <col min="2" max="2" width="19.625" style="2" customWidth="1"/>
    <col min="3" max="3" width="9.125" style="2" customWidth="1"/>
    <col min="4" max="4" width="7.5" style="2" customWidth="1"/>
    <col min="5" max="5" width="9.5" style="2" customWidth="1"/>
    <col min="6" max="6" width="9.25" style="2" customWidth="1"/>
    <col min="7" max="7" width="7" style="2" customWidth="1"/>
    <col min="8" max="8" width="8" style="2" customWidth="1"/>
    <col min="9" max="9" width="6.625" style="2" customWidth="1"/>
    <col min="10" max="10" width="7.125" style="2" customWidth="1"/>
    <col min="11" max="11" width="6.75" style="2" customWidth="1"/>
    <col min="12" max="12" width="7.625" style="2" customWidth="1"/>
    <col min="13" max="13" width="7.75" style="2" customWidth="1"/>
    <col min="14" max="14" width="7.625" style="2" customWidth="1"/>
    <col min="15" max="15" width="6.5" style="2" customWidth="1"/>
    <col min="16" max="16" width="7.75" style="2" customWidth="1"/>
    <col min="17" max="16384" width="11.875" style="15"/>
  </cols>
  <sheetData>
    <row r="1" spans="1:16" s="160" customFormat="1" x14ac:dyDescent="0.25">
      <c r="A1" s="153" t="s">
        <v>65</v>
      </c>
      <c r="B1" s="155"/>
      <c r="C1" s="155">
        <v>900000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6" t="s">
        <v>22</v>
      </c>
    </row>
    <row r="2" spans="1:16" s="160" customFormat="1" x14ac:dyDescent="0.25">
      <c r="A2" s="158" t="s">
        <v>17</v>
      </c>
      <c r="B2" s="174">
        <v>0.5</v>
      </c>
      <c r="C2" s="160">
        <f>+C1*B2</f>
        <v>450000</v>
      </c>
      <c r="P2" s="193" t="s">
        <v>69</v>
      </c>
    </row>
    <row r="3" spans="1:16" s="160" customFormat="1" x14ac:dyDescent="0.25">
      <c r="A3" s="162" t="s">
        <v>18</v>
      </c>
      <c r="B3" s="164"/>
      <c r="C3" s="164">
        <f>+C1-C2</f>
        <v>450000</v>
      </c>
      <c r="D3" s="164"/>
      <c r="E3" s="164"/>
      <c r="F3" s="164" t="s">
        <v>32</v>
      </c>
      <c r="G3" s="175">
        <v>0.08</v>
      </c>
      <c r="H3" s="164" t="s">
        <v>23</v>
      </c>
      <c r="I3" s="176">
        <f>+C3*G3</f>
        <v>36000</v>
      </c>
      <c r="J3" s="164"/>
      <c r="K3" s="164"/>
      <c r="L3" s="167"/>
      <c r="M3" s="168" t="s">
        <v>27</v>
      </c>
      <c r="N3" s="168">
        <f>+C3</f>
        <v>450000</v>
      </c>
      <c r="O3" s="164"/>
      <c r="P3" s="163"/>
    </row>
    <row r="4" spans="1:16" s="160" customFormat="1" ht="15" thickBot="1" x14ac:dyDescent="0.3">
      <c r="A4" s="177"/>
      <c r="B4" s="157"/>
      <c r="C4" s="157"/>
      <c r="D4" s="157"/>
      <c r="E4" s="157"/>
      <c r="F4" s="157" t="s">
        <v>51</v>
      </c>
      <c r="G4" s="178"/>
      <c r="H4" s="179" t="s">
        <v>52</v>
      </c>
      <c r="I4" s="157"/>
      <c r="J4" s="157"/>
      <c r="K4" s="157"/>
      <c r="L4" s="180"/>
      <c r="M4" s="181" t="s">
        <v>58</v>
      </c>
      <c r="N4" s="157"/>
      <c r="O4" s="157"/>
      <c r="P4" s="157"/>
    </row>
    <row r="5" spans="1:16" s="152" customFormat="1" ht="15" thickBot="1" x14ac:dyDescent="0.3">
      <c r="A5" s="148" t="s">
        <v>34</v>
      </c>
      <c r="B5" s="81"/>
      <c r="C5" s="81"/>
      <c r="D5" s="122" t="s">
        <v>0</v>
      </c>
      <c r="E5" s="122" t="s">
        <v>1</v>
      </c>
      <c r="F5" s="81">
        <v>0</v>
      </c>
      <c r="G5" s="81">
        <v>1</v>
      </c>
      <c r="H5" s="81">
        <f>+G5+1</f>
        <v>2</v>
      </c>
      <c r="I5" s="81">
        <f t="shared" ref="I5:O5" si="0">+H5+1</f>
        <v>3</v>
      </c>
      <c r="J5" s="81">
        <f t="shared" si="0"/>
        <v>4</v>
      </c>
      <c r="K5" s="81">
        <f t="shared" si="0"/>
        <v>5</v>
      </c>
      <c r="L5" s="81">
        <f t="shared" si="0"/>
        <v>6</v>
      </c>
      <c r="M5" s="81">
        <f t="shared" si="0"/>
        <v>7</v>
      </c>
      <c r="N5" s="81">
        <f t="shared" si="0"/>
        <v>8</v>
      </c>
      <c r="O5" s="81">
        <f t="shared" si="0"/>
        <v>9</v>
      </c>
      <c r="P5" s="150">
        <f>+O5+1</f>
        <v>10</v>
      </c>
    </row>
    <row r="6" spans="1:16" x14ac:dyDescent="0.25">
      <c r="A6" s="196" t="s">
        <v>5</v>
      </c>
      <c r="B6" s="161" t="s">
        <v>39</v>
      </c>
      <c r="C6" s="58"/>
      <c r="D6" s="147"/>
      <c r="E6" s="147"/>
      <c r="F6" s="51"/>
      <c r="G6" s="51">
        <v>51593</v>
      </c>
      <c r="H6" s="51">
        <f t="shared" ref="H6:L9" si="1">+G6*1.05</f>
        <v>54172.65</v>
      </c>
      <c r="I6" s="51">
        <f t="shared" si="1"/>
        <v>56881.282500000001</v>
      </c>
      <c r="J6" s="51">
        <f t="shared" si="1"/>
        <v>59725.346625000006</v>
      </c>
      <c r="K6" s="51">
        <f t="shared" si="1"/>
        <v>62711.61395625001</v>
      </c>
      <c r="L6" s="51">
        <f t="shared" si="1"/>
        <v>65847.194654062507</v>
      </c>
      <c r="M6" s="51">
        <f t="shared" ref="M6:P7" si="2">+L6*1</f>
        <v>65847.194654062507</v>
      </c>
      <c r="N6" s="51">
        <f t="shared" si="2"/>
        <v>65847.194654062507</v>
      </c>
      <c r="O6" s="51">
        <f t="shared" si="2"/>
        <v>65847.194654062507</v>
      </c>
      <c r="P6" s="24">
        <f t="shared" si="2"/>
        <v>65847.194654062507</v>
      </c>
    </row>
    <row r="7" spans="1:16" x14ac:dyDescent="0.25">
      <c r="A7" s="196" t="s">
        <v>6</v>
      </c>
      <c r="B7" s="161" t="s">
        <v>40</v>
      </c>
      <c r="C7" s="59"/>
      <c r="D7" s="123"/>
      <c r="E7" s="123"/>
      <c r="F7" s="15"/>
      <c r="G7" s="15">
        <v>16800</v>
      </c>
      <c r="H7" s="15">
        <f t="shared" si="1"/>
        <v>17640</v>
      </c>
      <c r="I7" s="15">
        <f t="shared" si="1"/>
        <v>18522</v>
      </c>
      <c r="J7" s="15">
        <f t="shared" si="1"/>
        <v>19448.100000000002</v>
      </c>
      <c r="K7" s="15">
        <f t="shared" si="1"/>
        <v>20420.505000000005</v>
      </c>
      <c r="L7" s="15">
        <f t="shared" si="1"/>
        <v>21441.530250000007</v>
      </c>
      <c r="M7" s="15">
        <f t="shared" si="2"/>
        <v>21441.530250000007</v>
      </c>
      <c r="N7" s="15">
        <f t="shared" si="2"/>
        <v>21441.530250000007</v>
      </c>
      <c r="O7" s="15">
        <f t="shared" si="2"/>
        <v>21441.530250000007</v>
      </c>
      <c r="P7" s="24">
        <f t="shared" si="2"/>
        <v>21441.530250000007</v>
      </c>
    </row>
    <row r="8" spans="1:16" x14ac:dyDescent="0.25">
      <c r="A8" s="196" t="s">
        <v>7</v>
      </c>
      <c r="B8" s="161" t="s">
        <v>88</v>
      </c>
      <c r="C8" s="59"/>
      <c r="D8" s="123"/>
      <c r="E8" s="123"/>
      <c r="F8" s="15"/>
      <c r="G8" s="15">
        <v>282009</v>
      </c>
      <c r="H8" s="15">
        <f t="shared" si="1"/>
        <v>296109.45</v>
      </c>
      <c r="I8" s="15">
        <f t="shared" si="1"/>
        <v>310914.92250000004</v>
      </c>
      <c r="J8" s="15">
        <f t="shared" si="1"/>
        <v>326460.66862500005</v>
      </c>
      <c r="K8" s="15">
        <f t="shared" si="1"/>
        <v>342783.70205625007</v>
      </c>
      <c r="L8" s="15">
        <f t="shared" si="1"/>
        <v>359922.88715906261</v>
      </c>
      <c r="M8" s="15">
        <f t="shared" ref="M8:P9" si="3">+L8*1</f>
        <v>359922.88715906261</v>
      </c>
      <c r="N8" s="15">
        <f t="shared" si="3"/>
        <v>359922.88715906261</v>
      </c>
      <c r="O8" s="15">
        <f t="shared" si="3"/>
        <v>359922.88715906261</v>
      </c>
      <c r="P8" s="24">
        <f t="shared" si="3"/>
        <v>359922.88715906261</v>
      </c>
    </row>
    <row r="9" spans="1:16" x14ac:dyDescent="0.25">
      <c r="A9" s="197" t="s">
        <v>8</v>
      </c>
      <c r="B9" s="163" t="s">
        <v>41</v>
      </c>
      <c r="C9" s="60"/>
      <c r="D9" s="124"/>
      <c r="E9" s="124"/>
      <c r="F9" s="6"/>
      <c r="G9" s="6">
        <v>43075</v>
      </c>
      <c r="H9" s="6">
        <f t="shared" si="1"/>
        <v>45228.75</v>
      </c>
      <c r="I9" s="6">
        <f t="shared" si="1"/>
        <v>47490.1875</v>
      </c>
      <c r="J9" s="6">
        <f t="shared" si="1"/>
        <v>49864.696875000001</v>
      </c>
      <c r="K9" s="6">
        <f t="shared" si="1"/>
        <v>52357.931718750006</v>
      </c>
      <c r="L9" s="6">
        <f t="shared" si="1"/>
        <v>54975.828304687508</v>
      </c>
      <c r="M9" s="6">
        <f t="shared" si="3"/>
        <v>54975.828304687508</v>
      </c>
      <c r="N9" s="6">
        <f t="shared" si="3"/>
        <v>54975.828304687508</v>
      </c>
      <c r="O9" s="6">
        <f t="shared" si="3"/>
        <v>54975.828304687508</v>
      </c>
      <c r="P9" s="28">
        <f t="shared" si="3"/>
        <v>54975.828304687508</v>
      </c>
    </row>
    <row r="10" spans="1:16" s="17" customFormat="1" x14ac:dyDescent="0.25">
      <c r="A10" s="198" t="s">
        <v>72</v>
      </c>
      <c r="B10" s="199" t="s">
        <v>42</v>
      </c>
      <c r="C10" s="61"/>
      <c r="D10" s="125"/>
      <c r="E10" s="125"/>
      <c r="F10" s="3"/>
      <c r="G10" s="3">
        <f>SUM(G6:G9)</f>
        <v>393477</v>
      </c>
      <c r="H10" s="3">
        <f t="shared" ref="H10:O10" si="4">SUM(H6:H9)</f>
        <v>413150.85</v>
      </c>
      <c r="I10" s="3">
        <f t="shared" si="4"/>
        <v>433808.39250000007</v>
      </c>
      <c r="J10" s="3">
        <f t="shared" si="4"/>
        <v>455498.81212500005</v>
      </c>
      <c r="K10" s="3">
        <f t="shared" si="4"/>
        <v>478273.75273125008</v>
      </c>
      <c r="L10" s="3">
        <f t="shared" si="4"/>
        <v>502187.44036781264</v>
      </c>
      <c r="M10" s="3">
        <f t="shared" si="4"/>
        <v>502187.44036781264</v>
      </c>
      <c r="N10" s="3">
        <f t="shared" si="4"/>
        <v>502187.44036781264</v>
      </c>
      <c r="O10" s="3">
        <f t="shared" si="4"/>
        <v>502187.44036781264</v>
      </c>
      <c r="P10" s="25">
        <f>+P6+P7+P8+P9</f>
        <v>502187.44036781264</v>
      </c>
    </row>
    <row r="11" spans="1:16" x14ac:dyDescent="0.25">
      <c r="A11" s="196" t="s">
        <v>9</v>
      </c>
      <c r="B11" s="161" t="s">
        <v>43</v>
      </c>
      <c r="C11" s="59"/>
      <c r="D11" s="123"/>
      <c r="E11" s="123"/>
      <c r="F11" s="15"/>
      <c r="G11" s="15">
        <v>18504</v>
      </c>
      <c r="H11" s="15">
        <f>+G11*1.03</f>
        <v>19059.12</v>
      </c>
      <c r="I11" s="15">
        <f t="shared" ref="I11:P11" si="5">+H11*1.03</f>
        <v>19630.893599999999</v>
      </c>
      <c r="J11" s="15">
        <f t="shared" si="5"/>
        <v>20219.820408</v>
      </c>
      <c r="K11" s="15">
        <f t="shared" si="5"/>
        <v>20826.415020240001</v>
      </c>
      <c r="L11" s="15">
        <f t="shared" si="5"/>
        <v>21451.207470847203</v>
      </c>
      <c r="M11" s="15">
        <f t="shared" si="5"/>
        <v>22094.743694972618</v>
      </c>
      <c r="N11" s="15">
        <f t="shared" si="5"/>
        <v>22757.586005821799</v>
      </c>
      <c r="O11" s="15">
        <f t="shared" si="5"/>
        <v>23440.313585996453</v>
      </c>
      <c r="P11" s="24">
        <f t="shared" si="5"/>
        <v>24143.522993576349</v>
      </c>
    </row>
    <row r="12" spans="1:16" x14ac:dyDescent="0.25">
      <c r="A12" s="196" t="s">
        <v>10</v>
      </c>
      <c r="B12" s="161" t="s">
        <v>44</v>
      </c>
      <c r="C12" s="59"/>
      <c r="D12" s="123"/>
      <c r="E12" s="123"/>
      <c r="F12" s="15"/>
      <c r="G12" s="15">
        <f>+G6*0.1</f>
        <v>5159.3</v>
      </c>
      <c r="H12" s="15">
        <f t="shared" ref="H12:P12" si="6">+H6*0.1</f>
        <v>5417.2650000000003</v>
      </c>
      <c r="I12" s="15">
        <f t="shared" si="6"/>
        <v>5688.1282500000007</v>
      </c>
      <c r="J12" s="15">
        <f t="shared" si="6"/>
        <v>5972.5346625000011</v>
      </c>
      <c r="K12" s="15">
        <f t="shared" si="6"/>
        <v>6271.1613956250012</v>
      </c>
      <c r="L12" s="15">
        <f t="shared" si="6"/>
        <v>6584.7194654062514</v>
      </c>
      <c r="M12" s="15">
        <f t="shared" si="6"/>
        <v>6584.7194654062514</v>
      </c>
      <c r="N12" s="15">
        <f t="shared" si="6"/>
        <v>6584.7194654062514</v>
      </c>
      <c r="O12" s="15">
        <f t="shared" si="6"/>
        <v>6584.7194654062514</v>
      </c>
      <c r="P12" s="24">
        <f t="shared" si="6"/>
        <v>6584.7194654062514</v>
      </c>
    </row>
    <row r="13" spans="1:16" x14ac:dyDescent="0.25">
      <c r="A13" s="196" t="s">
        <v>11</v>
      </c>
      <c r="B13" s="161" t="s">
        <v>89</v>
      </c>
      <c r="C13" s="59"/>
      <c r="D13" s="123"/>
      <c r="E13" s="123"/>
      <c r="F13" s="15"/>
      <c r="G13" s="15">
        <f>+G8*0.5</f>
        <v>141004.5</v>
      </c>
      <c r="H13" s="15">
        <f t="shared" ref="H13:O13" si="7">+H8*0.5</f>
        <v>148054.72500000001</v>
      </c>
      <c r="I13" s="15">
        <f t="shared" si="7"/>
        <v>155457.46125000002</v>
      </c>
      <c r="J13" s="15">
        <f t="shared" si="7"/>
        <v>163230.33431250002</v>
      </c>
      <c r="K13" s="15">
        <f t="shared" si="7"/>
        <v>171391.85102812503</v>
      </c>
      <c r="L13" s="15">
        <f t="shared" si="7"/>
        <v>179961.4435795313</v>
      </c>
      <c r="M13" s="15">
        <f t="shared" si="7"/>
        <v>179961.4435795313</v>
      </c>
      <c r="N13" s="15">
        <f t="shared" si="7"/>
        <v>179961.4435795313</v>
      </c>
      <c r="O13" s="15">
        <f t="shared" si="7"/>
        <v>179961.4435795313</v>
      </c>
      <c r="P13" s="24">
        <f>+P8*0.5</f>
        <v>179961.4435795313</v>
      </c>
    </row>
    <row r="14" spans="1:16" x14ac:dyDescent="0.25">
      <c r="A14" s="196" t="s">
        <v>12</v>
      </c>
      <c r="B14" s="161" t="s">
        <v>45</v>
      </c>
      <c r="C14" s="59"/>
      <c r="D14" s="123"/>
      <c r="E14" s="123"/>
      <c r="F14" s="15"/>
      <c r="G14" s="15">
        <v>85120</v>
      </c>
      <c r="H14" s="15">
        <f>+G14*1.03</f>
        <v>87673.600000000006</v>
      </c>
      <c r="I14" s="15">
        <f t="shared" ref="I14:P14" si="8">+H14*1.03</f>
        <v>90303.808000000005</v>
      </c>
      <c r="J14" s="15">
        <f t="shared" si="8"/>
        <v>93012.92224</v>
      </c>
      <c r="K14" s="15">
        <f t="shared" si="8"/>
        <v>95803.309907200004</v>
      </c>
      <c r="L14" s="15">
        <f t="shared" si="8"/>
        <v>98677.409204416006</v>
      </c>
      <c r="M14" s="15">
        <f t="shared" si="8"/>
        <v>101637.73148054849</v>
      </c>
      <c r="N14" s="15">
        <f t="shared" si="8"/>
        <v>104686.86342496495</v>
      </c>
      <c r="O14" s="15">
        <f t="shared" si="8"/>
        <v>107827.4693277139</v>
      </c>
      <c r="P14" s="24">
        <f t="shared" si="8"/>
        <v>111062.29340754532</v>
      </c>
    </row>
    <row r="15" spans="1:16" x14ac:dyDescent="0.25">
      <c r="A15" s="196" t="s">
        <v>13</v>
      </c>
      <c r="B15" s="161" t="s">
        <v>46</v>
      </c>
      <c r="C15" s="59"/>
      <c r="D15" s="123"/>
      <c r="E15" s="123"/>
      <c r="F15" s="15"/>
      <c r="G15" s="15">
        <f>+G10*0.035</f>
        <v>13771.695000000002</v>
      </c>
      <c r="H15" s="15">
        <f t="shared" ref="H15:P15" si="9">+H10*0.035</f>
        <v>14460.27975</v>
      </c>
      <c r="I15" s="15">
        <f t="shared" si="9"/>
        <v>15183.293737500004</v>
      </c>
      <c r="J15" s="15">
        <f t="shared" si="9"/>
        <v>15942.458424375003</v>
      </c>
      <c r="K15" s="15">
        <f t="shared" si="9"/>
        <v>16739.581345593753</v>
      </c>
      <c r="L15" s="15">
        <f t="shared" si="9"/>
        <v>17576.560412873445</v>
      </c>
      <c r="M15" s="15">
        <f t="shared" si="9"/>
        <v>17576.560412873445</v>
      </c>
      <c r="N15" s="15">
        <f t="shared" si="9"/>
        <v>17576.560412873445</v>
      </c>
      <c r="O15" s="15">
        <f t="shared" si="9"/>
        <v>17576.560412873445</v>
      </c>
      <c r="P15" s="24">
        <f t="shared" si="9"/>
        <v>17576.560412873445</v>
      </c>
    </row>
    <row r="16" spans="1:16" x14ac:dyDescent="0.25">
      <c r="A16" s="196" t="s">
        <v>14</v>
      </c>
      <c r="B16" s="161" t="s">
        <v>90</v>
      </c>
      <c r="C16" s="59"/>
      <c r="D16" s="123"/>
      <c r="E16" s="123"/>
      <c r="F16" s="15"/>
      <c r="G16" s="15">
        <f>+G10*0.02</f>
        <v>7869.54</v>
      </c>
      <c r="H16" s="15">
        <f t="shared" ref="H16:P16" si="10">+H10*0.02</f>
        <v>8263.0169999999998</v>
      </c>
      <c r="I16" s="15">
        <f t="shared" si="10"/>
        <v>8676.1678500000016</v>
      </c>
      <c r="J16" s="15">
        <f t="shared" si="10"/>
        <v>9109.9762425000008</v>
      </c>
      <c r="K16" s="15">
        <f t="shared" si="10"/>
        <v>9565.4750546250016</v>
      </c>
      <c r="L16" s="15">
        <f t="shared" si="10"/>
        <v>10043.748807356253</v>
      </c>
      <c r="M16" s="15">
        <f t="shared" si="10"/>
        <v>10043.748807356253</v>
      </c>
      <c r="N16" s="15">
        <f t="shared" si="10"/>
        <v>10043.748807356253</v>
      </c>
      <c r="O16" s="15">
        <f t="shared" si="10"/>
        <v>10043.748807356253</v>
      </c>
      <c r="P16" s="24">
        <f t="shared" si="10"/>
        <v>10043.748807356253</v>
      </c>
    </row>
    <row r="17" spans="1:18" x14ac:dyDescent="0.25">
      <c r="A17" s="196" t="s">
        <v>15</v>
      </c>
      <c r="B17" s="161" t="s">
        <v>47</v>
      </c>
      <c r="C17" s="59"/>
      <c r="D17" s="123"/>
      <c r="E17" s="123"/>
      <c r="F17" s="15"/>
      <c r="G17" s="15">
        <f>+G10*0.012</f>
        <v>4721.7240000000002</v>
      </c>
      <c r="H17" s="15">
        <f t="shared" ref="H17:P17" si="11">+H10*0.012</f>
        <v>4957.8101999999999</v>
      </c>
      <c r="I17" s="15">
        <f t="shared" si="11"/>
        <v>5205.700710000001</v>
      </c>
      <c r="J17" s="15">
        <f t="shared" si="11"/>
        <v>5465.985745500001</v>
      </c>
      <c r="K17" s="15">
        <f t="shared" si="11"/>
        <v>5739.2850327750011</v>
      </c>
      <c r="L17" s="15">
        <f t="shared" si="11"/>
        <v>6026.2492844137514</v>
      </c>
      <c r="M17" s="15">
        <f t="shared" si="11"/>
        <v>6026.2492844137514</v>
      </c>
      <c r="N17" s="15">
        <f t="shared" si="11"/>
        <v>6026.2492844137514</v>
      </c>
      <c r="O17" s="15">
        <f t="shared" si="11"/>
        <v>6026.2492844137514</v>
      </c>
      <c r="P17" s="24">
        <f t="shared" si="11"/>
        <v>6026.2492844137514</v>
      </c>
    </row>
    <row r="18" spans="1:18" x14ac:dyDescent="0.25">
      <c r="A18" s="197" t="s">
        <v>16</v>
      </c>
      <c r="B18" s="163" t="s">
        <v>48</v>
      </c>
      <c r="C18" s="60"/>
      <c r="D18" s="124"/>
      <c r="E18" s="124"/>
      <c r="F18" s="6"/>
      <c r="G18" s="6">
        <f>+G10*0.05</f>
        <v>19673.850000000002</v>
      </c>
      <c r="H18" s="6">
        <f t="shared" ref="H18:P18" si="12">+H10*0.05</f>
        <v>20657.5425</v>
      </c>
      <c r="I18" s="6">
        <f t="shared" si="12"/>
        <v>21690.419625000006</v>
      </c>
      <c r="J18" s="6">
        <f t="shared" si="12"/>
        <v>22774.940606250006</v>
      </c>
      <c r="K18" s="6">
        <f t="shared" si="12"/>
        <v>23913.687636562507</v>
      </c>
      <c r="L18" s="6">
        <f t="shared" si="12"/>
        <v>25109.372018390633</v>
      </c>
      <c r="M18" s="6">
        <f t="shared" si="12"/>
        <v>25109.372018390633</v>
      </c>
      <c r="N18" s="6">
        <f t="shared" si="12"/>
        <v>25109.372018390633</v>
      </c>
      <c r="O18" s="6">
        <f t="shared" si="12"/>
        <v>25109.372018390633</v>
      </c>
      <c r="P18" s="28">
        <f t="shared" si="12"/>
        <v>25109.372018390633</v>
      </c>
    </row>
    <row r="19" spans="1:18" s="18" customFormat="1" x14ac:dyDescent="0.25">
      <c r="A19" s="200" t="s">
        <v>73</v>
      </c>
      <c r="B19" s="201" t="s">
        <v>91</v>
      </c>
      <c r="C19" s="62"/>
      <c r="D19" s="126"/>
      <c r="E19" s="126"/>
      <c r="F19" s="4"/>
      <c r="G19" s="4">
        <f>SUM(G11:G18)</f>
        <v>295824.60899999994</v>
      </c>
      <c r="H19" s="4">
        <f t="shared" ref="H19:P19" si="13">SUM(H11:H18)</f>
        <v>308543.35944999999</v>
      </c>
      <c r="I19" s="4">
        <f t="shared" si="13"/>
        <v>321835.87302250002</v>
      </c>
      <c r="J19" s="4">
        <f t="shared" si="13"/>
        <v>335728.97264162503</v>
      </c>
      <c r="K19" s="4">
        <f t="shared" si="13"/>
        <v>350250.76642074634</v>
      </c>
      <c r="L19" s="4">
        <f t="shared" si="13"/>
        <v>365430.71024323488</v>
      </c>
      <c r="M19" s="4">
        <f t="shared" si="13"/>
        <v>369034.56874349271</v>
      </c>
      <c r="N19" s="4">
        <f t="shared" si="13"/>
        <v>372746.54299875838</v>
      </c>
      <c r="O19" s="4">
        <f t="shared" si="13"/>
        <v>376569.876481682</v>
      </c>
      <c r="P19" s="26">
        <f t="shared" si="13"/>
        <v>380507.90996909328</v>
      </c>
    </row>
    <row r="20" spans="1:18" s="19" customFormat="1" ht="17.25" customHeight="1" x14ac:dyDescent="0.25">
      <c r="A20" s="202" t="s">
        <v>74</v>
      </c>
      <c r="B20" s="203" t="s">
        <v>92</v>
      </c>
      <c r="C20" s="63"/>
      <c r="D20" s="127"/>
      <c r="E20" s="127"/>
      <c r="G20" s="19">
        <f>+G10-G19</f>
        <v>97652.391000000061</v>
      </c>
      <c r="H20" s="19">
        <f t="shared" ref="H20:P20" si="14">+H10-H19</f>
        <v>104607.49054999999</v>
      </c>
      <c r="I20" s="19">
        <f t="shared" si="14"/>
        <v>111972.51947750006</v>
      </c>
      <c r="J20" s="19">
        <f t="shared" si="14"/>
        <v>119769.83948337502</v>
      </c>
      <c r="K20" s="19">
        <f t="shared" si="14"/>
        <v>128022.98631050374</v>
      </c>
      <c r="L20" s="19">
        <f t="shared" si="14"/>
        <v>136756.73012457776</v>
      </c>
      <c r="M20" s="19">
        <f t="shared" si="14"/>
        <v>133152.87162431993</v>
      </c>
      <c r="N20" s="19">
        <f t="shared" si="14"/>
        <v>129440.89736905426</v>
      </c>
      <c r="O20" s="19">
        <f t="shared" si="14"/>
        <v>125617.56388613064</v>
      </c>
      <c r="P20" s="27">
        <f t="shared" si="14"/>
        <v>121679.53039871936</v>
      </c>
    </row>
    <row r="21" spans="1:18" x14ac:dyDescent="0.25">
      <c r="A21" s="204" t="s">
        <v>75</v>
      </c>
      <c r="B21" s="161" t="s">
        <v>93</v>
      </c>
      <c r="C21" s="59"/>
      <c r="D21" s="123"/>
      <c r="E21" s="123"/>
      <c r="F21" s="15"/>
      <c r="G21" s="15">
        <f>C3*G3+C3/2*G3*(1+G3)*(1+G3)+C3*G3*(1+G3)</f>
        <v>95875.199999999997</v>
      </c>
      <c r="H21" s="15">
        <f>C3*G3</f>
        <v>36000</v>
      </c>
      <c r="I21" s="15">
        <f>C3*G3</f>
        <v>36000</v>
      </c>
      <c r="J21" s="15">
        <f>C3*G3</f>
        <v>36000</v>
      </c>
      <c r="K21" s="15">
        <f>C3*G3</f>
        <v>36000</v>
      </c>
      <c r="L21" s="15">
        <f>C3*G3</f>
        <v>36000</v>
      </c>
      <c r="M21" s="15">
        <f>C3*G3</f>
        <v>36000</v>
      </c>
      <c r="N21" s="15">
        <f>C3*G3</f>
        <v>36000</v>
      </c>
      <c r="O21" s="15">
        <f>C3*G3</f>
        <v>36000</v>
      </c>
      <c r="P21" s="24">
        <f>C3*G3</f>
        <v>36000</v>
      </c>
    </row>
    <row r="22" spans="1:18" x14ac:dyDescent="0.25">
      <c r="A22" s="204" t="s">
        <v>76</v>
      </c>
      <c r="B22" s="161"/>
      <c r="C22" s="59"/>
      <c r="D22" s="123"/>
      <c r="E22" s="12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24">
        <f>+P20*(1+0.02)/(G3-0.02)</f>
        <v>2068552.0167782293</v>
      </c>
    </row>
    <row r="23" spans="1:18" x14ac:dyDescent="0.25">
      <c r="A23" s="205" t="s">
        <v>77</v>
      </c>
      <c r="B23" s="163"/>
      <c r="C23" s="60"/>
      <c r="D23" s="124"/>
      <c r="E23" s="124"/>
      <c r="F23" s="6"/>
      <c r="G23" s="6"/>
      <c r="H23" s="6"/>
      <c r="I23" s="6"/>
      <c r="J23" s="6"/>
      <c r="K23" s="6"/>
      <c r="L23" s="6"/>
      <c r="M23" s="6"/>
      <c r="N23" s="6"/>
      <c r="O23" s="6"/>
      <c r="P23" s="28">
        <f>+N3</f>
        <v>450000</v>
      </c>
    </row>
    <row r="24" spans="1:18" s="16" customFormat="1" ht="15" thickBot="1" x14ac:dyDescent="0.3">
      <c r="A24" s="206" t="s">
        <v>49</v>
      </c>
      <c r="B24" s="207"/>
      <c r="C24" s="64"/>
      <c r="D24" s="128"/>
      <c r="E24" s="128"/>
      <c r="F24" s="7"/>
      <c r="G24" s="7">
        <f>+G20-G21+G22-G23</f>
        <v>1777.1910000000644</v>
      </c>
      <c r="H24" s="7">
        <f>+H20-H21+H22-H23</f>
        <v>68607.490549999988</v>
      </c>
      <c r="I24" s="7">
        <f>+I20-I21+I22-I23</f>
        <v>75972.519477500056</v>
      </c>
      <c r="J24" s="7">
        <f t="shared" ref="J24:P24" si="15">+J20-J21+J22-J23</f>
        <v>83769.839483375021</v>
      </c>
      <c r="K24" s="7">
        <f t="shared" si="15"/>
        <v>92022.986310503737</v>
      </c>
      <c r="L24" s="7">
        <f t="shared" si="15"/>
        <v>100756.73012457776</v>
      </c>
      <c r="M24" s="7">
        <f t="shared" si="15"/>
        <v>97152.871624319931</v>
      </c>
      <c r="N24" s="7">
        <f t="shared" si="15"/>
        <v>93440.897369054263</v>
      </c>
      <c r="O24" s="7">
        <f t="shared" si="15"/>
        <v>89617.563886130636</v>
      </c>
      <c r="P24" s="29">
        <f t="shared" si="15"/>
        <v>1704231.5471769487</v>
      </c>
    </row>
    <row r="25" spans="1:18" s="18" customFormat="1" ht="15" thickTop="1" x14ac:dyDescent="0.25">
      <c r="A25" s="208" t="s">
        <v>78</v>
      </c>
      <c r="B25" s="209"/>
      <c r="C25" s="65"/>
      <c r="D25" s="129"/>
      <c r="E25" s="129"/>
      <c r="F25" s="40"/>
      <c r="G25" s="40">
        <f>+G20</f>
        <v>97652.391000000061</v>
      </c>
      <c r="H25" s="40">
        <f t="shared" ref="H25:O25" si="16">+H20</f>
        <v>104607.49054999999</v>
      </c>
      <c r="I25" s="40">
        <f t="shared" si="16"/>
        <v>111972.51947750006</v>
      </c>
      <c r="J25" s="40">
        <f t="shared" si="16"/>
        <v>119769.83948337502</v>
      </c>
      <c r="K25" s="40">
        <f t="shared" si="16"/>
        <v>128022.98631050374</v>
      </c>
      <c r="L25" s="40">
        <f t="shared" si="16"/>
        <v>136756.73012457776</v>
      </c>
      <c r="M25" s="40">
        <f t="shared" si="16"/>
        <v>133152.87162431993</v>
      </c>
      <c r="N25" s="40">
        <f t="shared" si="16"/>
        <v>129440.89736905426</v>
      </c>
      <c r="O25" s="40">
        <f t="shared" si="16"/>
        <v>125617.56388613064</v>
      </c>
      <c r="P25" s="41">
        <f>+P20+P22</f>
        <v>2190231.5471769487</v>
      </c>
    </row>
    <row r="26" spans="1:18" x14ac:dyDescent="0.25">
      <c r="A26" s="210" t="s">
        <v>79</v>
      </c>
      <c r="B26" s="211"/>
      <c r="C26" s="66"/>
      <c r="D26" s="123"/>
      <c r="E26" s="123"/>
      <c r="F26" s="42"/>
      <c r="G26" s="42">
        <f>+G21</f>
        <v>95875.199999999997</v>
      </c>
      <c r="H26" s="42">
        <f>+H21</f>
        <v>36000</v>
      </c>
      <c r="I26" s="42">
        <f>+I21</f>
        <v>36000</v>
      </c>
      <c r="J26" s="42">
        <f t="shared" ref="J26:P26" si="17">+J21</f>
        <v>36000</v>
      </c>
      <c r="K26" s="42">
        <f t="shared" si="17"/>
        <v>36000</v>
      </c>
      <c r="L26" s="42">
        <f t="shared" si="17"/>
        <v>36000</v>
      </c>
      <c r="M26" s="42">
        <f t="shared" si="17"/>
        <v>36000</v>
      </c>
      <c r="N26" s="42">
        <f t="shared" si="17"/>
        <v>36000</v>
      </c>
      <c r="O26" s="42">
        <f t="shared" si="17"/>
        <v>36000</v>
      </c>
      <c r="P26" s="43">
        <f t="shared" si="17"/>
        <v>36000</v>
      </c>
      <c r="R26" s="20"/>
    </row>
    <row r="27" spans="1:18" x14ac:dyDescent="0.25">
      <c r="A27" s="210" t="s">
        <v>80</v>
      </c>
      <c r="B27" s="211"/>
      <c r="C27" s="66"/>
      <c r="D27" s="123"/>
      <c r="E27" s="123"/>
      <c r="F27" s="42"/>
      <c r="G27" s="42">
        <f>800000/50</f>
        <v>16000</v>
      </c>
      <c r="H27" s="42">
        <f>+G27*1</f>
        <v>16000</v>
      </c>
      <c r="I27" s="42">
        <f t="shared" ref="I27:O27" si="18">+H27*1</f>
        <v>16000</v>
      </c>
      <c r="J27" s="42">
        <f t="shared" si="18"/>
        <v>16000</v>
      </c>
      <c r="K27" s="42">
        <f t="shared" si="18"/>
        <v>16000</v>
      </c>
      <c r="L27" s="42">
        <f t="shared" si="18"/>
        <v>16000</v>
      </c>
      <c r="M27" s="42">
        <f t="shared" si="18"/>
        <v>16000</v>
      </c>
      <c r="N27" s="42">
        <f t="shared" si="18"/>
        <v>16000</v>
      </c>
      <c r="O27" s="42">
        <f t="shared" si="18"/>
        <v>16000</v>
      </c>
      <c r="P27" s="43">
        <v>16000</v>
      </c>
    </row>
    <row r="28" spans="1:18" ht="15" thickBot="1" x14ac:dyDescent="0.3">
      <c r="A28" s="212" t="s">
        <v>81</v>
      </c>
      <c r="B28" s="213"/>
      <c r="C28" s="99"/>
      <c r="D28" s="130"/>
      <c r="E28" s="130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100">
        <v>800000</v>
      </c>
    </row>
    <row r="29" spans="1:18" s="17" customFormat="1" x14ac:dyDescent="0.25">
      <c r="A29" s="214" t="s">
        <v>82</v>
      </c>
      <c r="B29" s="215"/>
      <c r="C29" s="67"/>
      <c r="D29" s="131"/>
      <c r="E29" s="131"/>
      <c r="F29" s="44"/>
      <c r="G29" s="44">
        <f>+G25-G26-G27</f>
        <v>-14222.808999999936</v>
      </c>
      <c r="H29" s="44">
        <f t="shared" ref="H29:O29" si="19">+H25-H26-H27</f>
        <v>52607.490549999988</v>
      </c>
      <c r="I29" s="44">
        <f t="shared" si="19"/>
        <v>59972.519477500056</v>
      </c>
      <c r="J29" s="44">
        <f t="shared" si="19"/>
        <v>67769.839483375021</v>
      </c>
      <c r="K29" s="44">
        <f t="shared" si="19"/>
        <v>76022.986310503737</v>
      </c>
      <c r="L29" s="44">
        <f t="shared" si="19"/>
        <v>84756.730124577763</v>
      </c>
      <c r="M29" s="44">
        <f t="shared" si="19"/>
        <v>81152.871624319931</v>
      </c>
      <c r="N29" s="44">
        <f t="shared" si="19"/>
        <v>77440.897369054263</v>
      </c>
      <c r="O29" s="44">
        <f t="shared" si="19"/>
        <v>73617.563886130636</v>
      </c>
      <c r="P29" s="45">
        <f>+P25-P26-P27-P28</f>
        <v>1338231.5471769487</v>
      </c>
    </row>
    <row r="30" spans="1:18" s="21" customFormat="1" x14ac:dyDescent="0.25">
      <c r="A30" s="216" t="s">
        <v>83</v>
      </c>
      <c r="B30" s="217"/>
      <c r="C30" s="68"/>
      <c r="D30" s="132"/>
      <c r="E30" s="132"/>
      <c r="F30" s="46"/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9">
        <v>0.25</v>
      </c>
      <c r="M30" s="49">
        <v>0.25</v>
      </c>
      <c r="N30" s="49">
        <v>0.25</v>
      </c>
      <c r="O30" s="49">
        <v>0.25</v>
      </c>
      <c r="P30" s="50">
        <v>0.25</v>
      </c>
    </row>
    <row r="31" spans="1:18" s="16" customFormat="1" ht="15" thickBot="1" x14ac:dyDescent="0.3">
      <c r="A31" s="218" t="s">
        <v>84</v>
      </c>
      <c r="B31" s="219"/>
      <c r="C31" s="69"/>
      <c r="D31" s="128"/>
      <c r="E31" s="128"/>
      <c r="F31" s="47"/>
      <c r="G31" s="47">
        <f t="shared" ref="G31:P31" si="20">+G29*G30</f>
        <v>0</v>
      </c>
      <c r="H31" s="47">
        <f t="shared" si="20"/>
        <v>0</v>
      </c>
      <c r="I31" s="47">
        <f t="shared" si="20"/>
        <v>0</v>
      </c>
      <c r="J31" s="47">
        <f t="shared" si="20"/>
        <v>0</v>
      </c>
      <c r="K31" s="47">
        <f t="shared" si="20"/>
        <v>0</v>
      </c>
      <c r="L31" s="47">
        <f t="shared" si="20"/>
        <v>21189.182531144441</v>
      </c>
      <c r="M31" s="47">
        <f t="shared" si="20"/>
        <v>20288.217906079983</v>
      </c>
      <c r="N31" s="47">
        <f t="shared" si="20"/>
        <v>19360.224342263566</v>
      </c>
      <c r="O31" s="47">
        <f t="shared" si="20"/>
        <v>18404.390971532659</v>
      </c>
      <c r="P31" s="48">
        <f t="shared" si="20"/>
        <v>334557.88679423719</v>
      </c>
    </row>
    <row r="32" spans="1:18" ht="15" thickTop="1" x14ac:dyDescent="0.25">
      <c r="A32" s="196" t="s">
        <v>50</v>
      </c>
      <c r="B32" s="161"/>
      <c r="C32" s="59"/>
      <c r="D32" s="123">
        <f>-C2/2</f>
        <v>-225000</v>
      </c>
      <c r="E32" s="123">
        <f>-C2/2</f>
        <v>-225000</v>
      </c>
      <c r="F32" s="15">
        <v>-450000</v>
      </c>
      <c r="G32" s="15">
        <f>+G24-G31</f>
        <v>1777.1910000000644</v>
      </c>
      <c r="H32" s="15">
        <f t="shared" ref="H32:P32" si="21">+H24-H31</f>
        <v>68607.490549999988</v>
      </c>
      <c r="I32" s="15">
        <f t="shared" si="21"/>
        <v>75972.519477500056</v>
      </c>
      <c r="J32" s="15">
        <f t="shared" si="21"/>
        <v>83769.839483375021</v>
      </c>
      <c r="K32" s="15">
        <f t="shared" si="21"/>
        <v>92022.986310503737</v>
      </c>
      <c r="L32" s="15">
        <f t="shared" si="21"/>
        <v>79567.547593433323</v>
      </c>
      <c r="M32" s="15">
        <f t="shared" si="21"/>
        <v>76864.653718239948</v>
      </c>
      <c r="N32" s="15">
        <f t="shared" si="21"/>
        <v>74080.673026790697</v>
      </c>
      <c r="O32" s="15">
        <f t="shared" si="21"/>
        <v>71213.172914597977</v>
      </c>
      <c r="P32" s="24">
        <f t="shared" si="21"/>
        <v>1369673.6603827116</v>
      </c>
    </row>
    <row r="33" spans="1:16" s="22" customFormat="1" x14ac:dyDescent="0.25">
      <c r="A33" s="30" t="s">
        <v>2</v>
      </c>
      <c r="B33" s="10"/>
      <c r="C33" s="70"/>
      <c r="D33" s="10"/>
      <c r="E33" s="10"/>
      <c r="F33" s="10"/>
      <c r="G33" s="10">
        <f>+G20/G21</f>
        <v>1.0185365037048169</v>
      </c>
      <c r="H33" s="10">
        <f>+H20/H21</f>
        <v>2.9057636263888886</v>
      </c>
      <c r="I33" s="10">
        <f>+I20/I21</f>
        <v>3.1103477632638903</v>
      </c>
      <c r="J33" s="10">
        <f t="shared" ref="J33:P33" si="22">+J20/J21</f>
        <v>3.326939985649306</v>
      </c>
      <c r="K33" s="10">
        <f t="shared" si="22"/>
        <v>3.5561940641806595</v>
      </c>
      <c r="L33" s="10">
        <f t="shared" si="22"/>
        <v>3.7987980590160491</v>
      </c>
      <c r="M33" s="10">
        <f t="shared" si="22"/>
        <v>3.6986908784533314</v>
      </c>
      <c r="N33" s="10">
        <f t="shared" si="22"/>
        <v>3.5955804824737294</v>
      </c>
      <c r="O33" s="10">
        <f t="shared" si="22"/>
        <v>3.4893767746147399</v>
      </c>
      <c r="P33" s="31">
        <f t="shared" si="22"/>
        <v>3.3799869555199824</v>
      </c>
    </row>
    <row r="34" spans="1:16" x14ac:dyDescent="0.25">
      <c r="A34" s="32" t="s">
        <v>3</v>
      </c>
      <c r="B34" s="11"/>
      <c r="C34" s="71">
        <f>IRR(F32:P32)</f>
        <v>0.20766004303175611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33"/>
    </row>
    <row r="35" spans="1:16" ht="15" thickBot="1" x14ac:dyDescent="0.3">
      <c r="A35" s="34" t="s">
        <v>4</v>
      </c>
      <c r="B35" s="35"/>
      <c r="C35" s="102">
        <f>NPV(G3,G32:P32)+F32</f>
        <v>600040.03666014806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6"/>
    </row>
    <row r="36" spans="1:16" s="55" customFormat="1" ht="12.75" x14ac:dyDescent="0.15">
      <c r="A36" s="52" t="s">
        <v>20</v>
      </c>
      <c r="B36" s="53"/>
      <c r="C36" s="5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7" spans="1:16" x14ac:dyDescent="0.25">
      <c r="C37" s="15"/>
    </row>
    <row r="38" spans="1:16" x14ac:dyDescent="0.25">
      <c r="C38" s="15"/>
    </row>
    <row r="39" spans="1:16" x14ac:dyDescent="0.25">
      <c r="C39" s="15"/>
    </row>
    <row r="40" spans="1:16" x14ac:dyDescent="0.25">
      <c r="C40" s="15"/>
    </row>
    <row r="41" spans="1:16" x14ac:dyDescent="0.25">
      <c r="C41" s="15"/>
    </row>
    <row r="42" spans="1:16" x14ac:dyDescent="0.25">
      <c r="C42" s="15"/>
    </row>
    <row r="43" spans="1:16" x14ac:dyDescent="0.25">
      <c r="C43" s="15"/>
    </row>
    <row r="44" spans="1:16" x14ac:dyDescent="0.25">
      <c r="C44" s="15"/>
    </row>
    <row r="45" spans="1:16" x14ac:dyDescent="0.25">
      <c r="C45" s="15"/>
    </row>
    <row r="46" spans="1:16" x14ac:dyDescent="0.25">
      <c r="C46" s="15"/>
    </row>
    <row r="47" spans="1:16" x14ac:dyDescent="0.25">
      <c r="C47" s="15"/>
    </row>
    <row r="48" spans="1:16" x14ac:dyDescent="0.25">
      <c r="C48" s="15"/>
    </row>
    <row r="49" spans="3:3" x14ac:dyDescent="0.25">
      <c r="C49" s="15"/>
    </row>
    <row r="50" spans="3:3" x14ac:dyDescent="0.25">
      <c r="C50" s="15"/>
    </row>
    <row r="51" spans="3:3" x14ac:dyDescent="0.25">
      <c r="C51" s="15"/>
    </row>
    <row r="52" spans="3:3" x14ac:dyDescent="0.25">
      <c r="C52" s="15"/>
    </row>
    <row r="53" spans="3:3" x14ac:dyDescent="0.25">
      <c r="C53" s="15"/>
    </row>
    <row r="54" spans="3:3" x14ac:dyDescent="0.25">
      <c r="C54" s="15"/>
    </row>
    <row r="55" spans="3:3" x14ac:dyDescent="0.25">
      <c r="C55" s="15"/>
    </row>
  </sheetData>
  <phoneticPr fontId="2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130" zoomScaleNormal="130" workbookViewId="0">
      <pane xSplit="2" ySplit="5" topLeftCell="C22" activePane="bottomRight" state="frozen"/>
      <selection pane="topRight" activeCell="C1" sqref="C1"/>
      <selection pane="bottomLeft" activeCell="A5" sqref="A5"/>
      <selection pane="bottomRight" activeCell="C16" sqref="C16"/>
    </sheetView>
  </sheetViews>
  <sheetFormatPr defaultColWidth="6.25" defaultRowHeight="14.25" x14ac:dyDescent="0.25"/>
  <cols>
    <col min="1" max="1" width="16.75" style="1" customWidth="1"/>
    <col min="2" max="2" width="19.875" style="2" customWidth="1"/>
    <col min="3" max="4" width="7.625" style="2" customWidth="1"/>
    <col min="5" max="5" width="7.75" style="2" customWidth="1"/>
    <col min="6" max="6" width="10.875" style="2" customWidth="1"/>
    <col min="7" max="7" width="7.625" style="2" customWidth="1"/>
    <col min="8" max="8" width="8.125" style="2" customWidth="1"/>
    <col min="9" max="12" width="7.625" style="2" customWidth="1"/>
    <col min="13" max="13" width="9.25" style="2" customWidth="1"/>
    <col min="14" max="16" width="7.625" style="2" customWidth="1"/>
    <col min="17" max="16384" width="6.25" style="2"/>
  </cols>
  <sheetData>
    <row r="1" spans="1:16" s="157" customFormat="1" x14ac:dyDescent="0.25">
      <c r="A1" s="153" t="s">
        <v>65</v>
      </c>
      <c r="B1" s="154"/>
      <c r="C1" s="155">
        <v>900000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82"/>
      <c r="P1" s="156" t="s">
        <v>22</v>
      </c>
    </row>
    <row r="2" spans="1:16" s="157" customFormat="1" x14ac:dyDescent="0.25">
      <c r="A2" s="158" t="s">
        <v>17</v>
      </c>
      <c r="B2" s="159">
        <v>0.2</v>
      </c>
      <c r="C2" s="160">
        <f>+C1*B2</f>
        <v>180000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93" t="s">
        <v>69</v>
      </c>
    </row>
    <row r="3" spans="1:16" s="157" customFormat="1" x14ac:dyDescent="0.25">
      <c r="A3" s="162" t="s">
        <v>18</v>
      </c>
      <c r="B3" s="163"/>
      <c r="C3" s="164">
        <f>+C1-C2</f>
        <v>720000</v>
      </c>
      <c r="D3" s="164"/>
      <c r="E3" s="164"/>
      <c r="F3" s="164" t="s">
        <v>32</v>
      </c>
      <c r="G3" s="175">
        <v>0.08</v>
      </c>
      <c r="H3" s="164" t="s">
        <v>23</v>
      </c>
      <c r="I3" s="176">
        <f>+C3*G3</f>
        <v>57600</v>
      </c>
      <c r="J3" s="164"/>
      <c r="K3" s="164"/>
      <c r="L3" s="167" t="s">
        <v>66</v>
      </c>
      <c r="M3" s="164"/>
      <c r="N3" s="168">
        <f>+C3</f>
        <v>720000</v>
      </c>
      <c r="O3" s="164"/>
      <c r="P3" s="163"/>
    </row>
    <row r="4" spans="1:16" s="157" customFormat="1" ht="15" thickBot="1" x14ac:dyDescent="0.3">
      <c r="A4" s="169"/>
      <c r="B4" s="161"/>
      <c r="C4" s="160"/>
      <c r="D4" s="160"/>
      <c r="E4" s="160"/>
      <c r="F4" s="160" t="s">
        <v>53</v>
      </c>
      <c r="G4" s="171"/>
      <c r="H4" s="160" t="s">
        <v>54</v>
      </c>
      <c r="I4" s="173"/>
      <c r="J4" s="160"/>
      <c r="K4" s="160"/>
      <c r="L4" s="172"/>
      <c r="M4" s="183" t="s">
        <v>57</v>
      </c>
      <c r="N4" s="173"/>
      <c r="O4" s="160"/>
      <c r="P4" s="160"/>
    </row>
    <row r="5" spans="1:16" s="151" customFormat="1" ht="15" thickBot="1" x14ac:dyDescent="0.3">
      <c r="A5" s="148" t="s">
        <v>33</v>
      </c>
      <c r="B5" s="149"/>
      <c r="C5" s="81"/>
      <c r="D5" s="136" t="s">
        <v>0</v>
      </c>
      <c r="E5" s="136" t="s">
        <v>1</v>
      </c>
      <c r="F5" s="81">
        <v>0</v>
      </c>
      <c r="G5" s="81">
        <v>1</v>
      </c>
      <c r="H5" s="81">
        <f>+G5+1</f>
        <v>2</v>
      </c>
      <c r="I5" s="81">
        <f t="shared" ref="I5:O5" si="0">+H5+1</f>
        <v>3</v>
      </c>
      <c r="J5" s="81">
        <f t="shared" si="0"/>
        <v>4</v>
      </c>
      <c r="K5" s="81">
        <f t="shared" si="0"/>
        <v>5</v>
      </c>
      <c r="L5" s="81">
        <f t="shared" si="0"/>
        <v>6</v>
      </c>
      <c r="M5" s="81">
        <f t="shared" si="0"/>
        <v>7</v>
      </c>
      <c r="N5" s="81">
        <f t="shared" si="0"/>
        <v>8</v>
      </c>
      <c r="O5" s="81">
        <f t="shared" si="0"/>
        <v>9</v>
      </c>
      <c r="P5" s="150">
        <f>+O5+1</f>
        <v>10</v>
      </c>
    </row>
    <row r="6" spans="1:16" x14ac:dyDescent="0.25">
      <c r="A6" s="196" t="s">
        <v>5</v>
      </c>
      <c r="B6" s="161" t="s">
        <v>39</v>
      </c>
      <c r="C6" s="15"/>
      <c r="D6" s="137"/>
      <c r="E6" s="137"/>
      <c r="F6" s="15"/>
      <c r="G6" s="15">
        <v>51593</v>
      </c>
      <c r="H6" s="15">
        <f t="shared" ref="H6:L9" si="1">+G6*1.05</f>
        <v>54172.65</v>
      </c>
      <c r="I6" s="15">
        <f t="shared" si="1"/>
        <v>56881.282500000001</v>
      </c>
      <c r="J6" s="15">
        <f t="shared" si="1"/>
        <v>59725.346625000006</v>
      </c>
      <c r="K6" s="15">
        <f t="shared" si="1"/>
        <v>62711.61395625001</v>
      </c>
      <c r="L6" s="15">
        <f t="shared" si="1"/>
        <v>65847.194654062507</v>
      </c>
      <c r="M6" s="15">
        <f t="shared" ref="M6:P9" si="2">+L6*1</f>
        <v>65847.194654062507</v>
      </c>
      <c r="N6" s="15">
        <f t="shared" si="2"/>
        <v>65847.194654062507</v>
      </c>
      <c r="O6" s="15">
        <f t="shared" si="2"/>
        <v>65847.194654062507</v>
      </c>
      <c r="P6" s="24">
        <f t="shared" si="2"/>
        <v>65847.194654062507</v>
      </c>
    </row>
    <row r="7" spans="1:16" x14ac:dyDescent="0.25">
      <c r="A7" s="196" t="s">
        <v>6</v>
      </c>
      <c r="B7" s="161" t="s">
        <v>40</v>
      </c>
      <c r="C7" s="15"/>
      <c r="D7" s="137"/>
      <c r="E7" s="137"/>
      <c r="F7" s="15"/>
      <c r="G7" s="15">
        <v>16800</v>
      </c>
      <c r="H7" s="15">
        <f t="shared" si="1"/>
        <v>17640</v>
      </c>
      <c r="I7" s="15">
        <f t="shared" si="1"/>
        <v>18522</v>
      </c>
      <c r="J7" s="15">
        <f t="shared" si="1"/>
        <v>19448.100000000002</v>
      </c>
      <c r="K7" s="15">
        <f t="shared" si="1"/>
        <v>20420.505000000005</v>
      </c>
      <c r="L7" s="15">
        <f t="shared" si="1"/>
        <v>21441.530250000007</v>
      </c>
      <c r="M7" s="15">
        <f t="shared" si="2"/>
        <v>21441.530250000007</v>
      </c>
      <c r="N7" s="15">
        <f t="shared" si="2"/>
        <v>21441.530250000007</v>
      </c>
      <c r="O7" s="15">
        <f t="shared" si="2"/>
        <v>21441.530250000007</v>
      </c>
      <c r="P7" s="24">
        <f t="shared" si="2"/>
        <v>21441.530250000007</v>
      </c>
    </row>
    <row r="8" spans="1:16" x14ac:dyDescent="0.25">
      <c r="A8" s="196" t="s">
        <v>7</v>
      </c>
      <c r="B8" s="161" t="s">
        <v>88</v>
      </c>
      <c r="C8" s="15"/>
      <c r="D8" s="137"/>
      <c r="E8" s="137"/>
      <c r="F8" s="15"/>
      <c r="G8" s="15">
        <v>282009</v>
      </c>
      <c r="H8" s="15">
        <f t="shared" si="1"/>
        <v>296109.45</v>
      </c>
      <c r="I8" s="15">
        <f t="shared" si="1"/>
        <v>310914.92250000004</v>
      </c>
      <c r="J8" s="15">
        <f t="shared" si="1"/>
        <v>326460.66862500005</v>
      </c>
      <c r="K8" s="15">
        <f t="shared" si="1"/>
        <v>342783.70205625007</v>
      </c>
      <c r="L8" s="15">
        <f t="shared" si="1"/>
        <v>359922.88715906261</v>
      </c>
      <c r="M8" s="15">
        <f t="shared" si="2"/>
        <v>359922.88715906261</v>
      </c>
      <c r="N8" s="15">
        <f t="shared" si="2"/>
        <v>359922.88715906261</v>
      </c>
      <c r="O8" s="15">
        <f t="shared" si="2"/>
        <v>359922.88715906261</v>
      </c>
      <c r="P8" s="24">
        <f t="shared" si="2"/>
        <v>359922.88715906261</v>
      </c>
    </row>
    <row r="9" spans="1:16" x14ac:dyDescent="0.25">
      <c r="A9" s="197" t="s">
        <v>8</v>
      </c>
      <c r="B9" s="163" t="s">
        <v>41</v>
      </c>
      <c r="C9" s="6"/>
      <c r="D9" s="138"/>
      <c r="E9" s="138"/>
      <c r="F9" s="6"/>
      <c r="G9" s="6">
        <v>43075</v>
      </c>
      <c r="H9" s="6">
        <f t="shared" si="1"/>
        <v>45228.75</v>
      </c>
      <c r="I9" s="6">
        <f t="shared" si="1"/>
        <v>47490.1875</v>
      </c>
      <c r="J9" s="6">
        <f t="shared" si="1"/>
        <v>49864.696875000001</v>
      </c>
      <c r="K9" s="6">
        <f t="shared" si="1"/>
        <v>52357.931718750006</v>
      </c>
      <c r="L9" s="6">
        <f t="shared" si="1"/>
        <v>54975.828304687508</v>
      </c>
      <c r="M9" s="6">
        <f t="shared" si="2"/>
        <v>54975.828304687508</v>
      </c>
      <c r="N9" s="6">
        <f t="shared" si="2"/>
        <v>54975.828304687508</v>
      </c>
      <c r="O9" s="6">
        <f t="shared" si="2"/>
        <v>54975.828304687508</v>
      </c>
      <c r="P9" s="28">
        <f t="shared" si="2"/>
        <v>54975.828304687508</v>
      </c>
    </row>
    <row r="10" spans="1:16" s="3" customFormat="1" x14ac:dyDescent="0.25">
      <c r="A10" s="198" t="s">
        <v>72</v>
      </c>
      <c r="B10" s="199" t="s">
        <v>42</v>
      </c>
      <c r="D10" s="139"/>
      <c r="E10" s="139"/>
      <c r="G10" s="3">
        <f>SUM(G6:G9)</f>
        <v>393477</v>
      </c>
      <c r="H10" s="3">
        <f t="shared" ref="H10:O10" si="3">SUM(H6:H9)</f>
        <v>413150.85</v>
      </c>
      <c r="I10" s="3">
        <f t="shared" si="3"/>
        <v>433808.39250000007</v>
      </c>
      <c r="J10" s="3">
        <f t="shared" si="3"/>
        <v>455498.81212500005</v>
      </c>
      <c r="K10" s="3">
        <f t="shared" si="3"/>
        <v>478273.75273125008</v>
      </c>
      <c r="L10" s="3">
        <f t="shared" si="3"/>
        <v>502187.44036781264</v>
      </c>
      <c r="M10" s="3">
        <f t="shared" si="3"/>
        <v>502187.44036781264</v>
      </c>
      <c r="N10" s="3">
        <f t="shared" si="3"/>
        <v>502187.44036781264</v>
      </c>
      <c r="O10" s="3">
        <f t="shared" si="3"/>
        <v>502187.44036781264</v>
      </c>
      <c r="P10" s="25">
        <f>+P6+P7+P8+P9</f>
        <v>502187.44036781264</v>
      </c>
    </row>
    <row r="11" spans="1:16" x14ac:dyDescent="0.25">
      <c r="A11" s="196" t="s">
        <v>9</v>
      </c>
      <c r="B11" s="161" t="s">
        <v>43</v>
      </c>
      <c r="C11" s="15"/>
      <c r="D11" s="137"/>
      <c r="E11" s="137"/>
      <c r="F11" s="15"/>
      <c r="G11" s="15">
        <v>18504</v>
      </c>
      <c r="H11" s="15">
        <f>+G11*1.03</f>
        <v>19059.12</v>
      </c>
      <c r="I11" s="15">
        <f t="shared" ref="I11:P11" si="4">+H11*1.03</f>
        <v>19630.893599999999</v>
      </c>
      <c r="J11" s="15">
        <f t="shared" si="4"/>
        <v>20219.820408</v>
      </c>
      <c r="K11" s="15">
        <f t="shared" si="4"/>
        <v>20826.415020240001</v>
      </c>
      <c r="L11" s="15">
        <f t="shared" si="4"/>
        <v>21451.207470847203</v>
      </c>
      <c r="M11" s="15">
        <f t="shared" si="4"/>
        <v>22094.743694972618</v>
      </c>
      <c r="N11" s="15">
        <f t="shared" si="4"/>
        <v>22757.586005821799</v>
      </c>
      <c r="O11" s="15">
        <f t="shared" si="4"/>
        <v>23440.313585996453</v>
      </c>
      <c r="P11" s="24">
        <f t="shared" si="4"/>
        <v>24143.522993576349</v>
      </c>
    </row>
    <row r="12" spans="1:16" x14ac:dyDescent="0.25">
      <c r="A12" s="196" t="s">
        <v>10</v>
      </c>
      <c r="B12" s="161" t="s">
        <v>44</v>
      </c>
      <c r="C12" s="15"/>
      <c r="D12" s="137"/>
      <c r="E12" s="137"/>
      <c r="F12" s="15"/>
      <c r="G12" s="15">
        <f>+G6*0.1</f>
        <v>5159.3</v>
      </c>
      <c r="H12" s="15">
        <f t="shared" ref="H12:P12" si="5">+H6*0.1</f>
        <v>5417.2650000000003</v>
      </c>
      <c r="I12" s="15">
        <f t="shared" si="5"/>
        <v>5688.1282500000007</v>
      </c>
      <c r="J12" s="15">
        <f t="shared" si="5"/>
        <v>5972.5346625000011</v>
      </c>
      <c r="K12" s="15">
        <f t="shared" si="5"/>
        <v>6271.1613956250012</v>
      </c>
      <c r="L12" s="15">
        <f t="shared" si="5"/>
        <v>6584.7194654062514</v>
      </c>
      <c r="M12" s="15">
        <f t="shared" si="5"/>
        <v>6584.7194654062514</v>
      </c>
      <c r="N12" s="15">
        <f t="shared" si="5"/>
        <v>6584.7194654062514</v>
      </c>
      <c r="O12" s="15">
        <f t="shared" si="5"/>
        <v>6584.7194654062514</v>
      </c>
      <c r="P12" s="24">
        <f t="shared" si="5"/>
        <v>6584.7194654062514</v>
      </c>
    </row>
    <row r="13" spans="1:16" x14ac:dyDescent="0.25">
      <c r="A13" s="196" t="s">
        <v>11</v>
      </c>
      <c r="B13" s="161" t="s">
        <v>89</v>
      </c>
      <c r="C13" s="15"/>
      <c r="D13" s="137"/>
      <c r="E13" s="137"/>
      <c r="F13" s="15"/>
      <c r="G13" s="15">
        <f>+G8*0.5</f>
        <v>141004.5</v>
      </c>
      <c r="H13" s="15">
        <f t="shared" ref="H13:O13" si="6">+H8*0.5</f>
        <v>148054.72500000001</v>
      </c>
      <c r="I13" s="15">
        <f t="shared" si="6"/>
        <v>155457.46125000002</v>
      </c>
      <c r="J13" s="15">
        <f t="shared" si="6"/>
        <v>163230.33431250002</v>
      </c>
      <c r="K13" s="15">
        <f t="shared" si="6"/>
        <v>171391.85102812503</v>
      </c>
      <c r="L13" s="15">
        <f t="shared" si="6"/>
        <v>179961.4435795313</v>
      </c>
      <c r="M13" s="15">
        <f t="shared" si="6"/>
        <v>179961.4435795313</v>
      </c>
      <c r="N13" s="15">
        <f t="shared" si="6"/>
        <v>179961.4435795313</v>
      </c>
      <c r="O13" s="15">
        <f t="shared" si="6"/>
        <v>179961.4435795313</v>
      </c>
      <c r="P13" s="24">
        <f>+P8*0.5</f>
        <v>179961.4435795313</v>
      </c>
    </row>
    <row r="14" spans="1:16" x14ac:dyDescent="0.25">
      <c r="A14" s="196" t="s">
        <v>12</v>
      </c>
      <c r="B14" s="161" t="s">
        <v>45</v>
      </c>
      <c r="C14" s="15"/>
      <c r="D14" s="137"/>
      <c r="E14" s="137"/>
      <c r="F14" s="15"/>
      <c r="G14" s="15">
        <v>85120</v>
      </c>
      <c r="H14" s="15">
        <f>+G14*1.03</f>
        <v>87673.600000000006</v>
      </c>
      <c r="I14" s="15">
        <f t="shared" ref="I14:P14" si="7">+H14*1.03</f>
        <v>90303.808000000005</v>
      </c>
      <c r="J14" s="15">
        <f t="shared" si="7"/>
        <v>93012.92224</v>
      </c>
      <c r="K14" s="15">
        <f t="shared" si="7"/>
        <v>95803.309907200004</v>
      </c>
      <c r="L14" s="15">
        <f t="shared" si="7"/>
        <v>98677.409204416006</v>
      </c>
      <c r="M14" s="15">
        <f t="shared" si="7"/>
        <v>101637.73148054849</v>
      </c>
      <c r="N14" s="15">
        <f t="shared" si="7"/>
        <v>104686.86342496495</v>
      </c>
      <c r="O14" s="15">
        <f t="shared" si="7"/>
        <v>107827.4693277139</v>
      </c>
      <c r="P14" s="24">
        <f t="shared" si="7"/>
        <v>111062.29340754532</v>
      </c>
    </row>
    <row r="15" spans="1:16" x14ac:dyDescent="0.25">
      <c r="A15" s="196" t="s">
        <v>13</v>
      </c>
      <c r="B15" s="161" t="s">
        <v>46</v>
      </c>
      <c r="C15" s="15"/>
      <c r="D15" s="137"/>
      <c r="E15" s="137"/>
      <c r="F15" s="15"/>
      <c r="G15" s="15">
        <f>+G10*0.035</f>
        <v>13771.695000000002</v>
      </c>
      <c r="H15" s="15">
        <f t="shared" ref="H15:P15" si="8">+H10*0.035</f>
        <v>14460.27975</v>
      </c>
      <c r="I15" s="15">
        <f t="shared" si="8"/>
        <v>15183.293737500004</v>
      </c>
      <c r="J15" s="15">
        <f t="shared" si="8"/>
        <v>15942.458424375003</v>
      </c>
      <c r="K15" s="15">
        <f t="shared" si="8"/>
        <v>16739.581345593753</v>
      </c>
      <c r="L15" s="15">
        <f t="shared" si="8"/>
        <v>17576.560412873445</v>
      </c>
      <c r="M15" s="15">
        <f t="shared" si="8"/>
        <v>17576.560412873445</v>
      </c>
      <c r="N15" s="15">
        <f t="shared" si="8"/>
        <v>17576.560412873445</v>
      </c>
      <c r="O15" s="15">
        <f t="shared" si="8"/>
        <v>17576.560412873445</v>
      </c>
      <c r="P15" s="24">
        <f t="shared" si="8"/>
        <v>17576.560412873445</v>
      </c>
    </row>
    <row r="16" spans="1:16" x14ac:dyDescent="0.25">
      <c r="A16" s="196" t="s">
        <v>14</v>
      </c>
      <c r="B16" s="161" t="s">
        <v>90</v>
      </c>
      <c r="C16" s="15"/>
      <c r="D16" s="137"/>
      <c r="E16" s="137"/>
      <c r="F16" s="15"/>
      <c r="G16" s="15">
        <f>+G10*0.02</f>
        <v>7869.54</v>
      </c>
      <c r="H16" s="15">
        <f t="shared" ref="H16:P16" si="9">+H10*0.02</f>
        <v>8263.0169999999998</v>
      </c>
      <c r="I16" s="15">
        <f t="shared" si="9"/>
        <v>8676.1678500000016</v>
      </c>
      <c r="J16" s="15">
        <f t="shared" si="9"/>
        <v>9109.9762425000008</v>
      </c>
      <c r="K16" s="15">
        <f t="shared" si="9"/>
        <v>9565.4750546250016</v>
      </c>
      <c r="L16" s="15">
        <f t="shared" si="9"/>
        <v>10043.748807356253</v>
      </c>
      <c r="M16" s="15">
        <f t="shared" si="9"/>
        <v>10043.748807356253</v>
      </c>
      <c r="N16" s="15">
        <f t="shared" si="9"/>
        <v>10043.748807356253</v>
      </c>
      <c r="O16" s="15">
        <f t="shared" si="9"/>
        <v>10043.748807356253</v>
      </c>
      <c r="P16" s="24">
        <f t="shared" si="9"/>
        <v>10043.748807356253</v>
      </c>
    </row>
    <row r="17" spans="1:16" x14ac:dyDescent="0.25">
      <c r="A17" s="196" t="s">
        <v>15</v>
      </c>
      <c r="B17" s="161" t="s">
        <v>47</v>
      </c>
      <c r="C17" s="15"/>
      <c r="D17" s="137"/>
      <c r="E17" s="137"/>
      <c r="F17" s="15"/>
      <c r="G17" s="15">
        <f>+G10*0.012</f>
        <v>4721.7240000000002</v>
      </c>
      <c r="H17" s="15">
        <f t="shared" ref="H17:P17" si="10">+H10*0.012</f>
        <v>4957.8101999999999</v>
      </c>
      <c r="I17" s="15">
        <f t="shared" si="10"/>
        <v>5205.700710000001</v>
      </c>
      <c r="J17" s="15">
        <f t="shared" si="10"/>
        <v>5465.985745500001</v>
      </c>
      <c r="K17" s="15">
        <f t="shared" si="10"/>
        <v>5739.2850327750011</v>
      </c>
      <c r="L17" s="15">
        <f t="shared" si="10"/>
        <v>6026.2492844137514</v>
      </c>
      <c r="M17" s="15">
        <f t="shared" si="10"/>
        <v>6026.2492844137514</v>
      </c>
      <c r="N17" s="15">
        <f t="shared" si="10"/>
        <v>6026.2492844137514</v>
      </c>
      <c r="O17" s="15">
        <f t="shared" si="10"/>
        <v>6026.2492844137514</v>
      </c>
      <c r="P17" s="24">
        <f t="shared" si="10"/>
        <v>6026.2492844137514</v>
      </c>
    </row>
    <row r="18" spans="1:16" x14ac:dyDescent="0.25">
      <c r="A18" s="197" t="s">
        <v>16</v>
      </c>
      <c r="B18" s="163" t="s">
        <v>48</v>
      </c>
      <c r="C18" s="6"/>
      <c r="D18" s="138"/>
      <c r="E18" s="138"/>
      <c r="F18" s="6"/>
      <c r="G18" s="6">
        <f>+G10*0.05</f>
        <v>19673.850000000002</v>
      </c>
      <c r="H18" s="6">
        <f t="shared" ref="H18:P18" si="11">+H10*0.05</f>
        <v>20657.5425</v>
      </c>
      <c r="I18" s="6">
        <f t="shared" si="11"/>
        <v>21690.419625000006</v>
      </c>
      <c r="J18" s="6">
        <f t="shared" si="11"/>
        <v>22774.940606250006</v>
      </c>
      <c r="K18" s="6">
        <f t="shared" si="11"/>
        <v>23913.687636562507</v>
      </c>
      <c r="L18" s="6">
        <f t="shared" si="11"/>
        <v>25109.372018390633</v>
      </c>
      <c r="M18" s="6">
        <f t="shared" si="11"/>
        <v>25109.372018390633</v>
      </c>
      <c r="N18" s="6">
        <f t="shared" si="11"/>
        <v>25109.372018390633</v>
      </c>
      <c r="O18" s="6">
        <f t="shared" si="11"/>
        <v>25109.372018390633</v>
      </c>
      <c r="P18" s="28">
        <f t="shared" si="11"/>
        <v>25109.372018390633</v>
      </c>
    </row>
    <row r="19" spans="1:16" s="4" customFormat="1" x14ac:dyDescent="0.25">
      <c r="A19" s="200" t="s">
        <v>73</v>
      </c>
      <c r="B19" s="201" t="s">
        <v>91</v>
      </c>
      <c r="D19" s="140"/>
      <c r="E19" s="140"/>
      <c r="G19" s="4">
        <f>SUM(G11:G18)</f>
        <v>295824.60899999994</v>
      </c>
      <c r="H19" s="4">
        <f t="shared" ref="H19:P19" si="12">SUM(H11:H18)</f>
        <v>308543.35944999999</v>
      </c>
      <c r="I19" s="4">
        <f t="shared" si="12"/>
        <v>321835.87302250002</v>
      </c>
      <c r="J19" s="4">
        <f t="shared" si="12"/>
        <v>335728.97264162503</v>
      </c>
      <c r="K19" s="4">
        <f t="shared" si="12"/>
        <v>350250.76642074634</v>
      </c>
      <c r="L19" s="4">
        <f t="shared" si="12"/>
        <v>365430.71024323488</v>
      </c>
      <c r="M19" s="4">
        <f t="shared" si="12"/>
        <v>369034.56874349271</v>
      </c>
      <c r="N19" s="4">
        <f t="shared" si="12"/>
        <v>372746.54299875838</v>
      </c>
      <c r="O19" s="4">
        <f t="shared" si="12"/>
        <v>376569.876481682</v>
      </c>
      <c r="P19" s="26">
        <f t="shared" si="12"/>
        <v>380507.90996909328</v>
      </c>
    </row>
    <row r="20" spans="1:16" s="5" customFormat="1" ht="17.25" customHeight="1" x14ac:dyDescent="0.25">
      <c r="A20" s="202" t="s">
        <v>74</v>
      </c>
      <c r="B20" s="203" t="s">
        <v>92</v>
      </c>
      <c r="C20" s="19"/>
      <c r="D20" s="141"/>
      <c r="E20" s="141"/>
      <c r="F20" s="19"/>
      <c r="G20" s="19">
        <f>+G10-G19</f>
        <v>97652.391000000061</v>
      </c>
      <c r="H20" s="19">
        <f t="shared" ref="H20:P20" si="13">+H10-H19</f>
        <v>104607.49054999999</v>
      </c>
      <c r="I20" s="19">
        <f t="shared" si="13"/>
        <v>111972.51947750006</v>
      </c>
      <c r="J20" s="19">
        <f t="shared" si="13"/>
        <v>119769.83948337502</v>
      </c>
      <c r="K20" s="19">
        <f t="shared" si="13"/>
        <v>128022.98631050374</v>
      </c>
      <c r="L20" s="19">
        <f t="shared" si="13"/>
        <v>136756.73012457776</v>
      </c>
      <c r="M20" s="19">
        <f t="shared" si="13"/>
        <v>133152.87162431993</v>
      </c>
      <c r="N20" s="19">
        <f t="shared" si="13"/>
        <v>129440.89736905426</v>
      </c>
      <c r="O20" s="19">
        <f t="shared" si="13"/>
        <v>125617.56388613064</v>
      </c>
      <c r="P20" s="27">
        <f t="shared" si="13"/>
        <v>121679.53039871936</v>
      </c>
    </row>
    <row r="21" spans="1:16" x14ac:dyDescent="0.25">
      <c r="A21" s="204" t="s">
        <v>75</v>
      </c>
      <c r="B21" s="161" t="s">
        <v>93</v>
      </c>
      <c r="C21" s="15"/>
      <c r="D21" s="137"/>
      <c r="E21" s="137"/>
      <c r="F21" s="15"/>
      <c r="G21" s="15">
        <f>C3*G3+C3*G3*(1+G3)+C3/2*G3*(1+G3)*(1+G3)</f>
        <v>153400.32000000001</v>
      </c>
      <c r="H21" s="15">
        <f>C3*G3</f>
        <v>57600</v>
      </c>
      <c r="I21" s="15">
        <f t="shared" ref="I21:P21" si="14">+H21*1</f>
        <v>57600</v>
      </c>
      <c r="J21" s="15">
        <f t="shared" si="14"/>
        <v>57600</v>
      </c>
      <c r="K21" s="15">
        <f t="shared" si="14"/>
        <v>57600</v>
      </c>
      <c r="L21" s="15">
        <f t="shared" si="14"/>
        <v>57600</v>
      </c>
      <c r="M21" s="15">
        <f t="shared" si="14"/>
        <v>57600</v>
      </c>
      <c r="N21" s="15">
        <f t="shared" si="14"/>
        <v>57600</v>
      </c>
      <c r="O21" s="15">
        <f t="shared" si="14"/>
        <v>57600</v>
      </c>
      <c r="P21" s="24">
        <f t="shared" si="14"/>
        <v>57600</v>
      </c>
    </row>
    <row r="22" spans="1:16" x14ac:dyDescent="0.25">
      <c r="A22" s="204" t="s">
        <v>76</v>
      </c>
      <c r="B22" s="161"/>
      <c r="C22" s="15"/>
      <c r="D22" s="137"/>
      <c r="E22" s="137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24">
        <f>+P20*(1+0.02)/(G3-0.02)</f>
        <v>2068552.0167782293</v>
      </c>
    </row>
    <row r="23" spans="1:16" s="6" customFormat="1" x14ac:dyDescent="0.25">
      <c r="A23" s="205" t="s">
        <v>77</v>
      </c>
      <c r="B23" s="163"/>
      <c r="D23" s="138"/>
      <c r="E23" s="138"/>
      <c r="P23" s="28">
        <f>+N3</f>
        <v>720000</v>
      </c>
    </row>
    <row r="24" spans="1:16" s="7" customFormat="1" ht="15" thickBot="1" x14ac:dyDescent="0.3">
      <c r="A24" s="206" t="s">
        <v>49</v>
      </c>
      <c r="B24" s="207"/>
      <c r="D24" s="142"/>
      <c r="E24" s="142"/>
      <c r="G24" s="7">
        <f>+G20-G21+G22-G23</f>
        <v>-55747.928999999946</v>
      </c>
      <c r="H24" s="7">
        <f t="shared" ref="H24:P24" si="15">+H20-H21+H22-H23</f>
        <v>47007.490549999988</v>
      </c>
      <c r="I24" s="7">
        <f t="shared" si="15"/>
        <v>54372.519477500056</v>
      </c>
      <c r="J24" s="7">
        <f t="shared" si="15"/>
        <v>62169.839483375021</v>
      </c>
      <c r="K24" s="7">
        <f t="shared" si="15"/>
        <v>70422.986310503737</v>
      </c>
      <c r="L24" s="7">
        <f t="shared" si="15"/>
        <v>79156.730124577763</v>
      </c>
      <c r="M24" s="7">
        <f t="shared" si="15"/>
        <v>75552.871624319931</v>
      </c>
      <c r="N24" s="7">
        <f t="shared" si="15"/>
        <v>71840.897369054263</v>
      </c>
      <c r="O24" s="7">
        <f t="shared" si="15"/>
        <v>68017.563886130636</v>
      </c>
      <c r="P24" s="29">
        <f t="shared" si="15"/>
        <v>1412631.5471769487</v>
      </c>
    </row>
    <row r="25" spans="1:16" s="8" customFormat="1" ht="15" thickTop="1" x14ac:dyDescent="0.25">
      <c r="A25" s="208" t="s">
        <v>78</v>
      </c>
      <c r="B25" s="209"/>
      <c r="C25" s="40"/>
      <c r="D25" s="143"/>
      <c r="E25" s="143"/>
      <c r="F25" s="40"/>
      <c r="G25" s="40">
        <f>+G20</f>
        <v>97652.391000000061</v>
      </c>
      <c r="H25" s="40">
        <f t="shared" ref="H25:P26" si="16">+H20</f>
        <v>104607.49054999999</v>
      </c>
      <c r="I25" s="40">
        <f t="shared" si="16"/>
        <v>111972.51947750006</v>
      </c>
      <c r="J25" s="40">
        <f t="shared" si="16"/>
        <v>119769.83948337502</v>
      </c>
      <c r="K25" s="40">
        <f t="shared" si="16"/>
        <v>128022.98631050374</v>
      </c>
      <c r="L25" s="40">
        <f t="shared" si="16"/>
        <v>136756.73012457776</v>
      </c>
      <c r="M25" s="40">
        <f t="shared" si="16"/>
        <v>133152.87162431993</v>
      </c>
      <c r="N25" s="40">
        <f t="shared" si="16"/>
        <v>129440.89736905426</v>
      </c>
      <c r="O25" s="40">
        <f t="shared" si="16"/>
        <v>125617.56388613064</v>
      </c>
      <c r="P25" s="41">
        <f>+P20+P22</f>
        <v>2190231.5471769487</v>
      </c>
    </row>
    <row r="26" spans="1:16" x14ac:dyDescent="0.25">
      <c r="A26" s="210" t="s">
        <v>79</v>
      </c>
      <c r="B26" s="211"/>
      <c r="C26" s="42"/>
      <c r="D26" s="137"/>
      <c r="E26" s="137"/>
      <c r="F26" s="42"/>
      <c r="G26" s="42">
        <f>+G21</f>
        <v>153400.32000000001</v>
      </c>
      <c r="H26" s="42">
        <f t="shared" si="16"/>
        <v>57600</v>
      </c>
      <c r="I26" s="42">
        <f t="shared" si="16"/>
        <v>57600</v>
      </c>
      <c r="J26" s="42">
        <f t="shared" si="16"/>
        <v>57600</v>
      </c>
      <c r="K26" s="42">
        <f t="shared" si="16"/>
        <v>57600</v>
      </c>
      <c r="L26" s="42">
        <f t="shared" si="16"/>
        <v>57600</v>
      </c>
      <c r="M26" s="42">
        <f t="shared" si="16"/>
        <v>57600</v>
      </c>
      <c r="N26" s="42">
        <f t="shared" si="16"/>
        <v>57600</v>
      </c>
      <c r="O26" s="42">
        <f t="shared" si="16"/>
        <v>57600</v>
      </c>
      <c r="P26" s="43">
        <f t="shared" si="16"/>
        <v>57600</v>
      </c>
    </row>
    <row r="27" spans="1:16" s="6" customFormat="1" x14ac:dyDescent="0.25">
      <c r="A27" s="210" t="s">
        <v>80</v>
      </c>
      <c r="B27" s="211"/>
      <c r="C27" s="42"/>
      <c r="D27" s="137"/>
      <c r="E27" s="137"/>
      <c r="F27" s="42"/>
      <c r="G27" s="42">
        <f>800000/50</f>
        <v>16000</v>
      </c>
      <c r="H27" s="42">
        <f>+G27*1</f>
        <v>16000</v>
      </c>
      <c r="I27" s="42">
        <f t="shared" ref="I27:O27" si="17">+H27*1</f>
        <v>16000</v>
      </c>
      <c r="J27" s="42">
        <f t="shared" si="17"/>
        <v>16000</v>
      </c>
      <c r="K27" s="42">
        <f t="shared" si="17"/>
        <v>16000</v>
      </c>
      <c r="L27" s="42">
        <f t="shared" si="17"/>
        <v>16000</v>
      </c>
      <c r="M27" s="42">
        <f t="shared" si="17"/>
        <v>16000</v>
      </c>
      <c r="N27" s="42">
        <f t="shared" si="17"/>
        <v>16000</v>
      </c>
      <c r="O27" s="42">
        <f t="shared" si="17"/>
        <v>16000</v>
      </c>
      <c r="P27" s="43">
        <v>16000</v>
      </c>
    </row>
    <row r="28" spans="1:16" s="15" customFormat="1" ht="15" thickBot="1" x14ac:dyDescent="0.3">
      <c r="A28" s="212" t="s">
        <v>81</v>
      </c>
      <c r="B28" s="213"/>
      <c r="C28" s="98"/>
      <c r="D28" s="144"/>
      <c r="E28" s="144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100">
        <v>800000</v>
      </c>
    </row>
    <row r="29" spans="1:16" s="9" customFormat="1" x14ac:dyDescent="0.25">
      <c r="A29" s="214" t="s">
        <v>82</v>
      </c>
      <c r="B29" s="215"/>
      <c r="C29" s="44"/>
      <c r="D29" s="145"/>
      <c r="E29" s="145"/>
      <c r="F29" s="44"/>
      <c r="G29" s="44">
        <f>+G25-G26-G27</f>
        <v>-71747.928999999946</v>
      </c>
      <c r="H29" s="44">
        <f t="shared" ref="H29:O29" si="18">+H25-H26-H27</f>
        <v>31007.490549999988</v>
      </c>
      <c r="I29" s="44">
        <f t="shared" si="18"/>
        <v>38372.519477500056</v>
      </c>
      <c r="J29" s="44">
        <f t="shared" si="18"/>
        <v>46169.839483375021</v>
      </c>
      <c r="K29" s="44">
        <f t="shared" si="18"/>
        <v>54422.986310503737</v>
      </c>
      <c r="L29" s="44">
        <f t="shared" si="18"/>
        <v>63156.730124577763</v>
      </c>
      <c r="M29" s="44">
        <f t="shared" si="18"/>
        <v>59552.871624319931</v>
      </c>
      <c r="N29" s="44">
        <f t="shared" si="18"/>
        <v>55840.897369054263</v>
      </c>
      <c r="O29" s="44">
        <f t="shared" si="18"/>
        <v>52017.563886130636</v>
      </c>
      <c r="P29" s="45">
        <f>+P25-P26-P27-P28</f>
        <v>1316631.5471769487</v>
      </c>
    </row>
    <row r="30" spans="1:16" s="13" customFormat="1" x14ac:dyDescent="0.25">
      <c r="A30" s="216" t="s">
        <v>83</v>
      </c>
      <c r="B30" s="217"/>
      <c r="C30" s="46"/>
      <c r="D30" s="146"/>
      <c r="E30" s="146"/>
      <c r="F30" s="46"/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9">
        <v>0.25</v>
      </c>
      <c r="M30" s="49">
        <v>0.25</v>
      </c>
      <c r="N30" s="49">
        <v>0.25</v>
      </c>
      <c r="O30" s="49">
        <v>0.25</v>
      </c>
      <c r="P30" s="50">
        <v>0.25</v>
      </c>
    </row>
    <row r="31" spans="1:16" s="7" customFormat="1" ht="15" thickBot="1" x14ac:dyDescent="0.3">
      <c r="A31" s="218" t="s">
        <v>84</v>
      </c>
      <c r="B31" s="219"/>
      <c r="C31" s="47"/>
      <c r="D31" s="142"/>
      <c r="E31" s="142"/>
      <c r="F31" s="47"/>
      <c r="G31" s="47">
        <f t="shared" ref="G31:P31" si="19">+G29*G30</f>
        <v>0</v>
      </c>
      <c r="H31" s="47">
        <f t="shared" si="19"/>
        <v>0</v>
      </c>
      <c r="I31" s="47">
        <f t="shared" si="19"/>
        <v>0</v>
      </c>
      <c r="J31" s="47">
        <f t="shared" si="19"/>
        <v>0</v>
      </c>
      <c r="K31" s="47">
        <f t="shared" si="19"/>
        <v>0</v>
      </c>
      <c r="L31" s="47">
        <f t="shared" si="19"/>
        <v>15789.182531144441</v>
      </c>
      <c r="M31" s="47">
        <f t="shared" si="19"/>
        <v>14888.217906079983</v>
      </c>
      <c r="N31" s="47">
        <f t="shared" si="19"/>
        <v>13960.224342263566</v>
      </c>
      <c r="O31" s="47">
        <f t="shared" si="19"/>
        <v>13004.390971532659</v>
      </c>
      <c r="P31" s="48">
        <f t="shared" si="19"/>
        <v>329157.88679423719</v>
      </c>
    </row>
    <row r="32" spans="1:16" ht="15" thickTop="1" x14ac:dyDescent="0.25">
      <c r="A32" s="196" t="s">
        <v>50</v>
      </c>
      <c r="B32" s="161"/>
      <c r="C32" s="15"/>
      <c r="D32" s="137">
        <f>-C2/2-D21</f>
        <v>-90000</v>
      </c>
      <c r="E32" s="137">
        <f>-C2/2-E21</f>
        <v>-90000</v>
      </c>
      <c r="F32" s="15">
        <v>-180000</v>
      </c>
      <c r="G32" s="15">
        <f>+G24-G31</f>
        <v>-55747.928999999946</v>
      </c>
      <c r="H32" s="15">
        <f t="shared" ref="H32:P32" si="20">+H24-H31</f>
        <v>47007.490549999988</v>
      </c>
      <c r="I32" s="15">
        <f t="shared" si="20"/>
        <v>54372.519477500056</v>
      </c>
      <c r="J32" s="15">
        <f t="shared" si="20"/>
        <v>62169.839483375021</v>
      </c>
      <c r="K32" s="15">
        <f t="shared" si="20"/>
        <v>70422.986310503737</v>
      </c>
      <c r="L32" s="15">
        <f t="shared" si="20"/>
        <v>63367.547593433323</v>
      </c>
      <c r="M32" s="15">
        <f t="shared" si="20"/>
        <v>60664.653718239948</v>
      </c>
      <c r="N32" s="15">
        <f t="shared" si="20"/>
        <v>57880.673026790697</v>
      </c>
      <c r="O32" s="15">
        <f t="shared" si="20"/>
        <v>55013.172914597977</v>
      </c>
      <c r="P32" s="24">
        <f t="shared" si="20"/>
        <v>1083473.6603827116</v>
      </c>
    </row>
    <row r="33" spans="1:16" s="10" customFormat="1" x14ac:dyDescent="0.25">
      <c r="A33" s="30" t="s">
        <v>2</v>
      </c>
      <c r="B33" s="57"/>
      <c r="G33" s="10">
        <f>+G20/G21</f>
        <v>0.63658531481551051</v>
      </c>
      <c r="H33" s="10">
        <f t="shared" ref="H33:P33" si="21">+H20/H21</f>
        <v>1.8161022664930553</v>
      </c>
      <c r="I33" s="10">
        <f t="shared" si="21"/>
        <v>1.9439673520399314</v>
      </c>
      <c r="J33" s="10">
        <f t="shared" si="21"/>
        <v>2.0793374910308162</v>
      </c>
      <c r="K33" s="10">
        <f t="shared" si="21"/>
        <v>2.2226212901129121</v>
      </c>
      <c r="L33" s="10">
        <f t="shared" si="21"/>
        <v>2.3742487868850306</v>
      </c>
      <c r="M33" s="10">
        <f t="shared" si="21"/>
        <v>2.311681799033332</v>
      </c>
      <c r="N33" s="10">
        <f t="shared" si="21"/>
        <v>2.2472378015460808</v>
      </c>
      <c r="O33" s="10">
        <f t="shared" si="21"/>
        <v>2.1808604841342123</v>
      </c>
      <c r="P33" s="31">
        <f t="shared" si="21"/>
        <v>2.1124918471999887</v>
      </c>
    </row>
    <row r="34" spans="1:16" s="11" customFormat="1" x14ac:dyDescent="0.25">
      <c r="A34" s="32" t="s">
        <v>3</v>
      </c>
      <c r="B34" s="37"/>
      <c r="C34" s="14">
        <f>IRR(F32:P32)</f>
        <v>0.28498427705539409</v>
      </c>
      <c r="P34" s="33"/>
    </row>
    <row r="35" spans="1:16" s="6" customFormat="1" ht="15" thickBot="1" x14ac:dyDescent="0.3">
      <c r="A35" s="23" t="s">
        <v>4</v>
      </c>
      <c r="B35" s="38"/>
      <c r="C35" s="104">
        <f>NPV(G3, G32:P32)+F32</f>
        <v>581449.8420142103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4"/>
    </row>
    <row r="36" spans="1:16" x14ac:dyDescent="0.25">
      <c r="A36" s="95" t="s">
        <v>21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120" zoomScaleNormal="120" workbookViewId="0">
      <pane xSplit="2" ySplit="5" topLeftCell="C6" activePane="bottomRight" state="frozen"/>
      <selection activeCell="O29" sqref="O29"/>
      <selection pane="topRight" activeCell="O29" sqref="O29"/>
      <selection pane="bottomLeft" activeCell="O29" sqref="O29"/>
      <selection pane="bottomRight" activeCell="B32" sqref="A6:B32"/>
    </sheetView>
  </sheetViews>
  <sheetFormatPr defaultColWidth="14.375" defaultRowHeight="14.25" x14ac:dyDescent="0.25"/>
  <cols>
    <col min="1" max="1" width="14.5" style="1" customWidth="1"/>
    <col min="2" max="2" width="31.5" style="2" customWidth="1"/>
    <col min="3" max="4" width="7.625" style="2" customWidth="1"/>
    <col min="5" max="5" width="10.75" style="2" customWidth="1"/>
    <col min="6" max="6" width="8" style="2" customWidth="1"/>
    <col min="7" max="7" width="7.625" style="2" customWidth="1"/>
    <col min="8" max="8" width="11.375" style="2" customWidth="1"/>
    <col min="9" max="12" width="7.625" style="2" customWidth="1"/>
    <col min="13" max="13" width="8.75" style="2" customWidth="1"/>
    <col min="14" max="16" width="7.625" style="2" customWidth="1"/>
    <col min="17" max="16384" width="14.375" style="2"/>
  </cols>
  <sheetData>
    <row r="1" spans="1:16" s="157" customFormat="1" x14ac:dyDescent="0.25">
      <c r="A1" s="153" t="s">
        <v>64</v>
      </c>
      <c r="B1" s="154"/>
      <c r="C1" s="155">
        <v>900000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6" t="s">
        <v>22</v>
      </c>
    </row>
    <row r="2" spans="1:16" s="157" customFormat="1" x14ac:dyDescent="0.25">
      <c r="A2" s="158" t="s">
        <v>38</v>
      </c>
      <c r="B2" s="159">
        <v>0.5</v>
      </c>
      <c r="C2" s="160">
        <f>+C1*B2</f>
        <v>450000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93" t="s">
        <v>69</v>
      </c>
    </row>
    <row r="3" spans="1:16" s="157" customFormat="1" x14ac:dyDescent="0.25">
      <c r="A3" s="162" t="s">
        <v>37</v>
      </c>
      <c r="B3" s="163"/>
      <c r="C3" s="164">
        <f>+C1-C2</f>
        <v>450000</v>
      </c>
      <c r="D3" s="164"/>
      <c r="E3" s="165" t="s">
        <v>31</v>
      </c>
      <c r="F3" s="164"/>
      <c r="G3" s="166">
        <v>0.08</v>
      </c>
      <c r="H3" s="167"/>
      <c r="I3" s="168" t="s">
        <v>24</v>
      </c>
      <c r="J3" s="165">
        <f>-PMT(0.08,10,C3)</f>
        <v>67063.269913683936</v>
      </c>
      <c r="K3" s="164"/>
      <c r="L3" s="164"/>
      <c r="M3" s="164"/>
      <c r="N3" s="164"/>
      <c r="O3" s="164"/>
      <c r="P3" s="163"/>
    </row>
    <row r="4" spans="1:16" s="157" customFormat="1" ht="15" thickBot="1" x14ac:dyDescent="0.3">
      <c r="A4" s="169"/>
      <c r="B4" s="161"/>
      <c r="C4" s="160"/>
      <c r="D4" s="160"/>
      <c r="E4" s="170" t="s">
        <v>35</v>
      </c>
      <c r="F4" s="160"/>
      <c r="G4" s="171"/>
      <c r="H4" s="160"/>
      <c r="I4" s="170" t="s">
        <v>36</v>
      </c>
      <c r="J4" s="160"/>
      <c r="K4" s="160"/>
      <c r="L4" s="172"/>
      <c r="M4" s="160"/>
      <c r="N4" s="173"/>
      <c r="O4" s="160"/>
      <c r="P4" s="160"/>
    </row>
    <row r="5" spans="1:16" s="151" customFormat="1" ht="15" thickBot="1" x14ac:dyDescent="0.3">
      <c r="A5" s="194" t="s">
        <v>71</v>
      </c>
      <c r="B5" s="195"/>
      <c r="C5" s="81"/>
      <c r="D5" s="81" t="s">
        <v>0</v>
      </c>
      <c r="E5" s="136" t="s">
        <v>1</v>
      </c>
      <c r="F5" s="136">
        <v>0</v>
      </c>
      <c r="G5" s="81">
        <v>1</v>
      </c>
      <c r="H5" s="81">
        <f>+G5+1</f>
        <v>2</v>
      </c>
      <c r="I5" s="81">
        <f t="shared" ref="I5:N5" si="0">+H5+1</f>
        <v>3</v>
      </c>
      <c r="J5" s="81">
        <f t="shared" si="0"/>
        <v>4</v>
      </c>
      <c r="K5" s="81">
        <f t="shared" si="0"/>
        <v>5</v>
      </c>
      <c r="L5" s="81">
        <f t="shared" si="0"/>
        <v>6</v>
      </c>
      <c r="M5" s="81">
        <f t="shared" si="0"/>
        <v>7</v>
      </c>
      <c r="N5" s="81">
        <f t="shared" si="0"/>
        <v>8</v>
      </c>
      <c r="O5" s="81">
        <f>+N5+1</f>
        <v>9</v>
      </c>
      <c r="P5" s="150">
        <f>+O5+1</f>
        <v>10</v>
      </c>
    </row>
    <row r="6" spans="1:16" x14ac:dyDescent="0.25">
      <c r="A6" s="196" t="s">
        <v>5</v>
      </c>
      <c r="B6" s="161" t="s">
        <v>39</v>
      </c>
      <c r="C6" s="15"/>
      <c r="D6" s="15"/>
      <c r="E6" s="137"/>
      <c r="F6" s="137"/>
      <c r="G6" s="15">
        <v>51593</v>
      </c>
      <c r="H6" s="15">
        <f t="shared" ref="H6:L9" si="1">+G6*1.05</f>
        <v>54172.65</v>
      </c>
      <c r="I6" s="15">
        <f t="shared" si="1"/>
        <v>56881.282500000001</v>
      </c>
      <c r="J6" s="15">
        <f t="shared" si="1"/>
        <v>59725.346625000006</v>
      </c>
      <c r="K6" s="15">
        <f t="shared" si="1"/>
        <v>62711.61395625001</v>
      </c>
      <c r="L6" s="15">
        <f t="shared" si="1"/>
        <v>65847.194654062507</v>
      </c>
      <c r="M6" s="15">
        <f t="shared" ref="M6:P9" si="2">+L6*1</f>
        <v>65847.194654062507</v>
      </c>
      <c r="N6" s="15">
        <f t="shared" si="2"/>
        <v>65847.194654062507</v>
      </c>
      <c r="O6" s="15">
        <f t="shared" si="2"/>
        <v>65847.194654062507</v>
      </c>
      <c r="P6" s="24">
        <f t="shared" si="2"/>
        <v>65847.194654062507</v>
      </c>
    </row>
    <row r="7" spans="1:16" x14ac:dyDescent="0.25">
      <c r="A7" s="196" t="s">
        <v>6</v>
      </c>
      <c r="B7" s="161" t="s">
        <v>40</v>
      </c>
      <c r="C7" s="15"/>
      <c r="D7" s="15"/>
      <c r="E7" s="137"/>
      <c r="F7" s="137"/>
      <c r="G7" s="15">
        <v>16800</v>
      </c>
      <c r="H7" s="15">
        <f t="shared" si="1"/>
        <v>17640</v>
      </c>
      <c r="I7" s="15">
        <f t="shared" si="1"/>
        <v>18522</v>
      </c>
      <c r="J7" s="15">
        <f t="shared" si="1"/>
        <v>19448.100000000002</v>
      </c>
      <c r="K7" s="15">
        <f t="shared" si="1"/>
        <v>20420.505000000005</v>
      </c>
      <c r="L7" s="15">
        <f t="shared" si="1"/>
        <v>21441.530250000007</v>
      </c>
      <c r="M7" s="15">
        <f t="shared" si="2"/>
        <v>21441.530250000007</v>
      </c>
      <c r="N7" s="15">
        <f t="shared" si="2"/>
        <v>21441.530250000007</v>
      </c>
      <c r="O7" s="15">
        <f t="shared" si="2"/>
        <v>21441.530250000007</v>
      </c>
      <c r="P7" s="24">
        <f t="shared" si="2"/>
        <v>21441.530250000007</v>
      </c>
    </row>
    <row r="8" spans="1:16" x14ac:dyDescent="0.25">
      <c r="A8" s="196" t="s">
        <v>7</v>
      </c>
      <c r="B8" s="161" t="s">
        <v>88</v>
      </c>
      <c r="C8" s="15"/>
      <c r="D8" s="15"/>
      <c r="E8" s="137"/>
      <c r="F8" s="137"/>
      <c r="G8" s="15">
        <v>282009</v>
      </c>
      <c r="H8" s="15">
        <f t="shared" si="1"/>
        <v>296109.45</v>
      </c>
      <c r="I8" s="15">
        <f t="shared" si="1"/>
        <v>310914.92250000004</v>
      </c>
      <c r="J8" s="15">
        <f t="shared" si="1"/>
        <v>326460.66862500005</v>
      </c>
      <c r="K8" s="15">
        <f t="shared" si="1"/>
        <v>342783.70205625007</v>
      </c>
      <c r="L8" s="15">
        <f t="shared" si="1"/>
        <v>359922.88715906261</v>
      </c>
      <c r="M8" s="15">
        <f t="shared" si="2"/>
        <v>359922.88715906261</v>
      </c>
      <c r="N8" s="15">
        <f t="shared" si="2"/>
        <v>359922.88715906261</v>
      </c>
      <c r="O8" s="15">
        <f t="shared" si="2"/>
        <v>359922.88715906261</v>
      </c>
      <c r="P8" s="24">
        <f t="shared" si="2"/>
        <v>359922.88715906261</v>
      </c>
    </row>
    <row r="9" spans="1:16" x14ac:dyDescent="0.25">
      <c r="A9" s="197" t="s">
        <v>8</v>
      </c>
      <c r="B9" s="163" t="s">
        <v>41</v>
      </c>
      <c r="C9" s="6"/>
      <c r="D9" s="6"/>
      <c r="E9" s="138"/>
      <c r="F9" s="138"/>
      <c r="G9" s="6">
        <v>43075</v>
      </c>
      <c r="H9" s="6">
        <f t="shared" si="1"/>
        <v>45228.75</v>
      </c>
      <c r="I9" s="6">
        <f t="shared" si="1"/>
        <v>47490.1875</v>
      </c>
      <c r="J9" s="6">
        <f t="shared" si="1"/>
        <v>49864.696875000001</v>
      </c>
      <c r="K9" s="6">
        <f t="shared" si="1"/>
        <v>52357.931718750006</v>
      </c>
      <c r="L9" s="6">
        <f t="shared" si="1"/>
        <v>54975.828304687508</v>
      </c>
      <c r="M9" s="6">
        <f t="shared" si="2"/>
        <v>54975.828304687508</v>
      </c>
      <c r="N9" s="6">
        <f t="shared" si="2"/>
        <v>54975.828304687508</v>
      </c>
      <c r="O9" s="6">
        <f t="shared" si="2"/>
        <v>54975.828304687508</v>
      </c>
      <c r="P9" s="28">
        <f t="shared" si="2"/>
        <v>54975.828304687508</v>
      </c>
    </row>
    <row r="10" spans="1:16" s="3" customFormat="1" x14ac:dyDescent="0.25">
      <c r="A10" s="198" t="s">
        <v>72</v>
      </c>
      <c r="B10" s="199" t="s">
        <v>42</v>
      </c>
      <c r="E10" s="139"/>
      <c r="F10" s="139"/>
      <c r="G10" s="3">
        <f>SUM(G6:G9)</f>
        <v>393477</v>
      </c>
      <c r="H10" s="3">
        <f t="shared" ref="H10:O10" si="3">SUM(H6:H9)</f>
        <v>413150.85</v>
      </c>
      <c r="I10" s="3">
        <f t="shared" si="3"/>
        <v>433808.39250000007</v>
      </c>
      <c r="J10" s="3">
        <f t="shared" si="3"/>
        <v>455498.81212500005</v>
      </c>
      <c r="K10" s="3">
        <f t="shared" si="3"/>
        <v>478273.75273125008</v>
      </c>
      <c r="L10" s="3">
        <f t="shared" si="3"/>
        <v>502187.44036781264</v>
      </c>
      <c r="M10" s="3">
        <f t="shared" si="3"/>
        <v>502187.44036781264</v>
      </c>
      <c r="N10" s="3">
        <f t="shared" si="3"/>
        <v>502187.44036781264</v>
      </c>
      <c r="O10" s="3">
        <f t="shared" si="3"/>
        <v>502187.44036781264</v>
      </c>
      <c r="P10" s="25">
        <f>+P6+P7+P8+P9</f>
        <v>502187.44036781264</v>
      </c>
    </row>
    <row r="11" spans="1:16" x14ac:dyDescent="0.25">
      <c r="A11" s="196" t="s">
        <v>9</v>
      </c>
      <c r="B11" s="161" t="s">
        <v>43</v>
      </c>
      <c r="C11" s="15"/>
      <c r="D11" s="15"/>
      <c r="E11" s="137"/>
      <c r="F11" s="137"/>
      <c r="G11" s="15">
        <v>18504</v>
      </c>
      <c r="H11" s="15">
        <f>+G11*1.03</f>
        <v>19059.12</v>
      </c>
      <c r="I11" s="15">
        <f t="shared" ref="I11:P11" si="4">+H11*1.03</f>
        <v>19630.893599999999</v>
      </c>
      <c r="J11" s="15">
        <f t="shared" si="4"/>
        <v>20219.820408</v>
      </c>
      <c r="K11" s="15">
        <f t="shared" si="4"/>
        <v>20826.415020240001</v>
      </c>
      <c r="L11" s="15">
        <f t="shared" si="4"/>
        <v>21451.207470847203</v>
      </c>
      <c r="M11" s="15">
        <f t="shared" si="4"/>
        <v>22094.743694972618</v>
      </c>
      <c r="N11" s="15">
        <f t="shared" si="4"/>
        <v>22757.586005821799</v>
      </c>
      <c r="O11" s="15">
        <f t="shared" si="4"/>
        <v>23440.313585996453</v>
      </c>
      <c r="P11" s="24">
        <f t="shared" si="4"/>
        <v>24143.522993576349</v>
      </c>
    </row>
    <row r="12" spans="1:16" x14ac:dyDescent="0.25">
      <c r="A12" s="196" t="s">
        <v>10</v>
      </c>
      <c r="B12" s="161" t="s">
        <v>44</v>
      </c>
      <c r="C12" s="15"/>
      <c r="D12" s="15"/>
      <c r="E12" s="137"/>
      <c r="F12" s="137"/>
      <c r="G12" s="15">
        <f>+G6*0.1</f>
        <v>5159.3</v>
      </c>
      <c r="H12" s="15">
        <f t="shared" ref="H12:P12" si="5">+H6*0.1</f>
        <v>5417.2650000000003</v>
      </c>
      <c r="I12" s="15">
        <f t="shared" si="5"/>
        <v>5688.1282500000007</v>
      </c>
      <c r="J12" s="15">
        <f t="shared" si="5"/>
        <v>5972.5346625000011</v>
      </c>
      <c r="K12" s="15">
        <f t="shared" si="5"/>
        <v>6271.1613956250012</v>
      </c>
      <c r="L12" s="15">
        <f t="shared" si="5"/>
        <v>6584.7194654062514</v>
      </c>
      <c r="M12" s="15">
        <f t="shared" si="5"/>
        <v>6584.7194654062514</v>
      </c>
      <c r="N12" s="15">
        <f t="shared" si="5"/>
        <v>6584.7194654062514</v>
      </c>
      <c r="O12" s="15">
        <f t="shared" si="5"/>
        <v>6584.7194654062514</v>
      </c>
      <c r="P12" s="24">
        <f t="shared" si="5"/>
        <v>6584.7194654062514</v>
      </c>
    </row>
    <row r="13" spans="1:16" x14ac:dyDescent="0.25">
      <c r="A13" s="196" t="s">
        <v>11</v>
      </c>
      <c r="B13" s="161" t="s">
        <v>89</v>
      </c>
      <c r="C13" s="15"/>
      <c r="D13" s="15"/>
      <c r="E13" s="137"/>
      <c r="F13" s="137"/>
      <c r="G13" s="15">
        <f>+G8*0.5</f>
        <v>141004.5</v>
      </c>
      <c r="H13" s="15">
        <f t="shared" ref="H13:O13" si="6">+H8*0.5</f>
        <v>148054.72500000001</v>
      </c>
      <c r="I13" s="15">
        <f t="shared" si="6"/>
        <v>155457.46125000002</v>
      </c>
      <c r="J13" s="15">
        <f t="shared" si="6"/>
        <v>163230.33431250002</v>
      </c>
      <c r="K13" s="15">
        <f t="shared" si="6"/>
        <v>171391.85102812503</v>
      </c>
      <c r="L13" s="15">
        <f t="shared" si="6"/>
        <v>179961.4435795313</v>
      </c>
      <c r="M13" s="15">
        <f t="shared" si="6"/>
        <v>179961.4435795313</v>
      </c>
      <c r="N13" s="15">
        <f t="shared" si="6"/>
        <v>179961.4435795313</v>
      </c>
      <c r="O13" s="15">
        <f t="shared" si="6"/>
        <v>179961.4435795313</v>
      </c>
      <c r="P13" s="24">
        <f>+P8*0.5</f>
        <v>179961.4435795313</v>
      </c>
    </row>
    <row r="14" spans="1:16" x14ac:dyDescent="0.25">
      <c r="A14" s="196" t="s">
        <v>12</v>
      </c>
      <c r="B14" s="161" t="s">
        <v>45</v>
      </c>
      <c r="C14" s="15"/>
      <c r="D14" s="15"/>
      <c r="E14" s="137"/>
      <c r="F14" s="137"/>
      <c r="G14" s="15">
        <v>85120</v>
      </c>
      <c r="H14" s="15">
        <f>+G14*1.03</f>
        <v>87673.600000000006</v>
      </c>
      <c r="I14" s="15">
        <f t="shared" ref="I14:P14" si="7">+H14*1.03</f>
        <v>90303.808000000005</v>
      </c>
      <c r="J14" s="15">
        <f t="shared" si="7"/>
        <v>93012.92224</v>
      </c>
      <c r="K14" s="15">
        <f t="shared" si="7"/>
        <v>95803.309907200004</v>
      </c>
      <c r="L14" s="15">
        <f t="shared" si="7"/>
        <v>98677.409204416006</v>
      </c>
      <c r="M14" s="15">
        <f t="shared" si="7"/>
        <v>101637.73148054849</v>
      </c>
      <c r="N14" s="15">
        <f t="shared" si="7"/>
        <v>104686.86342496495</v>
      </c>
      <c r="O14" s="15">
        <f t="shared" si="7"/>
        <v>107827.4693277139</v>
      </c>
      <c r="P14" s="24">
        <f t="shared" si="7"/>
        <v>111062.29340754532</v>
      </c>
    </row>
    <row r="15" spans="1:16" x14ac:dyDescent="0.25">
      <c r="A15" s="196" t="s">
        <v>13</v>
      </c>
      <c r="B15" s="161" t="s">
        <v>46</v>
      </c>
      <c r="C15" s="15"/>
      <c r="D15" s="15"/>
      <c r="E15" s="137"/>
      <c r="F15" s="137"/>
      <c r="G15" s="15">
        <f>+G10*0.035</f>
        <v>13771.695000000002</v>
      </c>
      <c r="H15" s="15">
        <f t="shared" ref="H15:P15" si="8">+H10*0.035</f>
        <v>14460.27975</v>
      </c>
      <c r="I15" s="15">
        <f t="shared" si="8"/>
        <v>15183.293737500004</v>
      </c>
      <c r="J15" s="15">
        <f t="shared" si="8"/>
        <v>15942.458424375003</v>
      </c>
      <c r="K15" s="15">
        <f t="shared" si="8"/>
        <v>16739.581345593753</v>
      </c>
      <c r="L15" s="15">
        <f t="shared" si="8"/>
        <v>17576.560412873445</v>
      </c>
      <c r="M15" s="15">
        <f t="shared" si="8"/>
        <v>17576.560412873445</v>
      </c>
      <c r="N15" s="15">
        <f t="shared" si="8"/>
        <v>17576.560412873445</v>
      </c>
      <c r="O15" s="15">
        <f t="shared" si="8"/>
        <v>17576.560412873445</v>
      </c>
      <c r="P15" s="24">
        <f t="shared" si="8"/>
        <v>17576.560412873445</v>
      </c>
    </row>
    <row r="16" spans="1:16" x14ac:dyDescent="0.25">
      <c r="A16" s="196" t="s">
        <v>14</v>
      </c>
      <c r="B16" s="161" t="s">
        <v>90</v>
      </c>
      <c r="C16" s="15"/>
      <c r="D16" s="15"/>
      <c r="E16" s="137"/>
      <c r="F16" s="137"/>
      <c r="G16" s="15">
        <f>+G10*0.02</f>
        <v>7869.54</v>
      </c>
      <c r="H16" s="15">
        <f t="shared" ref="H16:P16" si="9">+H10*0.02</f>
        <v>8263.0169999999998</v>
      </c>
      <c r="I16" s="15">
        <f t="shared" si="9"/>
        <v>8676.1678500000016</v>
      </c>
      <c r="J16" s="15">
        <f t="shared" si="9"/>
        <v>9109.9762425000008</v>
      </c>
      <c r="K16" s="15">
        <f t="shared" si="9"/>
        <v>9565.4750546250016</v>
      </c>
      <c r="L16" s="15">
        <f t="shared" si="9"/>
        <v>10043.748807356253</v>
      </c>
      <c r="M16" s="15">
        <f t="shared" si="9"/>
        <v>10043.748807356253</v>
      </c>
      <c r="N16" s="15">
        <f t="shared" si="9"/>
        <v>10043.748807356253</v>
      </c>
      <c r="O16" s="15">
        <f t="shared" si="9"/>
        <v>10043.748807356253</v>
      </c>
      <c r="P16" s="24">
        <f t="shared" si="9"/>
        <v>10043.748807356253</v>
      </c>
    </row>
    <row r="17" spans="1:16" x14ac:dyDescent="0.25">
      <c r="A17" s="196" t="s">
        <v>15</v>
      </c>
      <c r="B17" s="161" t="s">
        <v>47</v>
      </c>
      <c r="C17" s="15"/>
      <c r="D17" s="15"/>
      <c r="E17" s="137"/>
      <c r="F17" s="137"/>
      <c r="G17" s="15">
        <f>+G10*0.012</f>
        <v>4721.7240000000002</v>
      </c>
      <c r="H17" s="15">
        <f t="shared" ref="H17:P17" si="10">+H10*0.012</f>
        <v>4957.8101999999999</v>
      </c>
      <c r="I17" s="15">
        <f t="shared" si="10"/>
        <v>5205.700710000001</v>
      </c>
      <c r="J17" s="15">
        <f t="shared" si="10"/>
        <v>5465.985745500001</v>
      </c>
      <c r="K17" s="15">
        <f t="shared" si="10"/>
        <v>5739.2850327750011</v>
      </c>
      <c r="L17" s="15">
        <f t="shared" si="10"/>
        <v>6026.2492844137514</v>
      </c>
      <c r="M17" s="15">
        <f t="shared" si="10"/>
        <v>6026.2492844137514</v>
      </c>
      <c r="N17" s="15">
        <f t="shared" si="10"/>
        <v>6026.2492844137514</v>
      </c>
      <c r="O17" s="15">
        <f t="shared" si="10"/>
        <v>6026.2492844137514</v>
      </c>
      <c r="P17" s="24">
        <f t="shared" si="10"/>
        <v>6026.2492844137514</v>
      </c>
    </row>
    <row r="18" spans="1:16" x14ac:dyDescent="0.25">
      <c r="A18" s="197" t="s">
        <v>16</v>
      </c>
      <c r="B18" s="163" t="s">
        <v>48</v>
      </c>
      <c r="C18" s="6"/>
      <c r="D18" s="6"/>
      <c r="E18" s="138"/>
      <c r="F18" s="138"/>
      <c r="G18" s="6">
        <f>+G10*0.05</f>
        <v>19673.850000000002</v>
      </c>
      <c r="H18" s="6">
        <f t="shared" ref="H18:P18" si="11">+H10*0.05</f>
        <v>20657.5425</v>
      </c>
      <c r="I18" s="6">
        <f t="shared" si="11"/>
        <v>21690.419625000006</v>
      </c>
      <c r="J18" s="6">
        <f t="shared" si="11"/>
        <v>22774.940606250006</v>
      </c>
      <c r="K18" s="6">
        <f t="shared" si="11"/>
        <v>23913.687636562507</v>
      </c>
      <c r="L18" s="6">
        <f t="shared" si="11"/>
        <v>25109.372018390633</v>
      </c>
      <c r="M18" s="6">
        <f t="shared" si="11"/>
        <v>25109.372018390633</v>
      </c>
      <c r="N18" s="6">
        <f t="shared" si="11"/>
        <v>25109.372018390633</v>
      </c>
      <c r="O18" s="6">
        <f t="shared" si="11"/>
        <v>25109.372018390633</v>
      </c>
      <c r="P18" s="28">
        <f t="shared" si="11"/>
        <v>25109.372018390633</v>
      </c>
    </row>
    <row r="19" spans="1:16" s="4" customFormat="1" x14ac:dyDescent="0.25">
      <c r="A19" s="200" t="s">
        <v>73</v>
      </c>
      <c r="B19" s="201" t="s">
        <v>91</v>
      </c>
      <c r="E19" s="140"/>
      <c r="F19" s="140"/>
      <c r="G19" s="4">
        <f>SUM(G11:G18)</f>
        <v>295824.60899999994</v>
      </c>
      <c r="H19" s="4">
        <f t="shared" ref="H19:P19" si="12">SUM(H11:H18)</f>
        <v>308543.35944999999</v>
      </c>
      <c r="I19" s="4">
        <f t="shared" si="12"/>
        <v>321835.87302250002</v>
      </c>
      <c r="J19" s="4">
        <f t="shared" si="12"/>
        <v>335728.97264162503</v>
      </c>
      <c r="K19" s="4">
        <f t="shared" si="12"/>
        <v>350250.76642074634</v>
      </c>
      <c r="L19" s="4">
        <f t="shared" si="12"/>
        <v>365430.71024323488</v>
      </c>
      <c r="M19" s="4">
        <f t="shared" si="12"/>
        <v>369034.56874349271</v>
      </c>
      <c r="N19" s="4">
        <f t="shared" si="12"/>
        <v>372746.54299875838</v>
      </c>
      <c r="O19" s="4">
        <f t="shared" si="12"/>
        <v>376569.876481682</v>
      </c>
      <c r="P19" s="26">
        <f t="shared" si="12"/>
        <v>380507.90996909328</v>
      </c>
    </row>
    <row r="20" spans="1:16" s="5" customFormat="1" ht="17.25" customHeight="1" x14ac:dyDescent="0.25">
      <c r="A20" s="202" t="s">
        <v>74</v>
      </c>
      <c r="B20" s="203" t="s">
        <v>92</v>
      </c>
      <c r="C20" s="19"/>
      <c r="D20" s="19"/>
      <c r="E20" s="141"/>
      <c r="F20" s="141"/>
      <c r="G20" s="19">
        <f>+G10-G19</f>
        <v>97652.391000000061</v>
      </c>
      <c r="H20" s="19">
        <f t="shared" ref="H20:P20" si="13">+H10-H19</f>
        <v>104607.49054999999</v>
      </c>
      <c r="I20" s="19">
        <f t="shared" si="13"/>
        <v>111972.51947750006</v>
      </c>
      <c r="J20" s="19">
        <f t="shared" si="13"/>
        <v>119769.83948337502</v>
      </c>
      <c r="K20" s="19">
        <f t="shared" si="13"/>
        <v>128022.98631050374</v>
      </c>
      <c r="L20" s="19">
        <f t="shared" si="13"/>
        <v>136756.73012457776</v>
      </c>
      <c r="M20" s="19">
        <f t="shared" si="13"/>
        <v>133152.87162431993</v>
      </c>
      <c r="N20" s="19">
        <f t="shared" si="13"/>
        <v>129440.89736905426</v>
      </c>
      <c r="O20" s="19">
        <f t="shared" si="13"/>
        <v>125617.56388613064</v>
      </c>
      <c r="P20" s="27">
        <f t="shared" si="13"/>
        <v>121679.53039871936</v>
      </c>
    </row>
    <row r="21" spans="1:16" x14ac:dyDescent="0.25">
      <c r="A21" s="204" t="s">
        <v>75</v>
      </c>
      <c r="B21" s="161" t="s">
        <v>93</v>
      </c>
      <c r="C21" s="15"/>
      <c r="D21" s="15"/>
      <c r="E21" s="137"/>
      <c r="F21" s="137"/>
      <c r="G21" s="15">
        <f>+J3+C3*G3*(1+G3)+C3/2*G3*(1+G3)*(1+G3)</f>
        <v>126938.46991368393</v>
      </c>
      <c r="H21" s="15">
        <f>+J3</f>
        <v>67063.269913683936</v>
      </c>
      <c r="I21" s="15">
        <f t="shared" ref="I21:P21" si="14">+H21*1</f>
        <v>67063.269913683936</v>
      </c>
      <c r="J21" s="15">
        <f t="shared" si="14"/>
        <v>67063.269913683936</v>
      </c>
      <c r="K21" s="15">
        <f t="shared" si="14"/>
        <v>67063.269913683936</v>
      </c>
      <c r="L21" s="15">
        <f t="shared" si="14"/>
        <v>67063.269913683936</v>
      </c>
      <c r="M21" s="15">
        <f t="shared" si="14"/>
        <v>67063.269913683936</v>
      </c>
      <c r="N21" s="15">
        <f t="shared" si="14"/>
        <v>67063.269913683936</v>
      </c>
      <c r="O21" s="15">
        <f t="shared" si="14"/>
        <v>67063.269913683936</v>
      </c>
      <c r="P21" s="24">
        <f t="shared" si="14"/>
        <v>67063.269913683936</v>
      </c>
    </row>
    <row r="22" spans="1:16" x14ac:dyDescent="0.25">
      <c r="A22" s="204" t="s">
        <v>76</v>
      </c>
      <c r="B22" s="161"/>
      <c r="C22" s="15"/>
      <c r="D22" s="15"/>
      <c r="E22" s="137"/>
      <c r="F22" s="137"/>
      <c r="G22" s="15"/>
      <c r="H22" s="15"/>
      <c r="I22" s="15"/>
      <c r="J22" s="15"/>
      <c r="K22" s="15"/>
      <c r="L22" s="15"/>
      <c r="M22" s="15"/>
      <c r="N22" s="15"/>
      <c r="O22" s="15"/>
      <c r="P22" s="24">
        <f>+P20*(1+0.02)/(G3-0.02)</f>
        <v>2068552.0167782293</v>
      </c>
    </row>
    <row r="23" spans="1:16" s="6" customFormat="1" x14ac:dyDescent="0.25">
      <c r="A23" s="205" t="s">
        <v>77</v>
      </c>
      <c r="B23" s="163"/>
      <c r="E23" s="138"/>
      <c r="F23" s="138"/>
      <c r="P23" s="28">
        <v>0</v>
      </c>
    </row>
    <row r="24" spans="1:16" s="7" customFormat="1" ht="15" thickBot="1" x14ac:dyDescent="0.3">
      <c r="A24" s="206" t="s">
        <v>49</v>
      </c>
      <c r="B24" s="207"/>
      <c r="E24" s="142"/>
      <c r="F24" s="142"/>
      <c r="G24" s="7">
        <f>+G20-G21+G22-G23</f>
        <v>-29286.078913683872</v>
      </c>
      <c r="H24" s="7">
        <f t="shared" ref="H24:P24" si="15">+H20-H21+H22-H23</f>
        <v>37544.220636316051</v>
      </c>
      <c r="I24" s="7">
        <f t="shared" si="15"/>
        <v>44909.24956381612</v>
      </c>
      <c r="J24" s="7">
        <f t="shared" si="15"/>
        <v>52706.569569691084</v>
      </c>
      <c r="K24" s="7">
        <f t="shared" si="15"/>
        <v>60959.7163968198</v>
      </c>
      <c r="L24" s="7">
        <f t="shared" si="15"/>
        <v>69693.460210893827</v>
      </c>
      <c r="M24" s="7">
        <f t="shared" si="15"/>
        <v>66089.601710635994</v>
      </c>
      <c r="N24" s="7">
        <f t="shared" si="15"/>
        <v>62377.627455370326</v>
      </c>
      <c r="O24" s="7">
        <f t="shared" si="15"/>
        <v>58554.2939724467</v>
      </c>
      <c r="P24" s="29">
        <f t="shared" si="15"/>
        <v>2123168.2772632646</v>
      </c>
    </row>
    <row r="25" spans="1:16" s="8" customFormat="1" ht="15" thickTop="1" x14ac:dyDescent="0.25">
      <c r="A25" s="208" t="s">
        <v>78</v>
      </c>
      <c r="B25" s="209"/>
      <c r="C25" s="40"/>
      <c r="D25" s="40"/>
      <c r="E25" s="143"/>
      <c r="F25" s="143"/>
      <c r="G25" s="40">
        <f t="shared" ref="G25:O25" si="16">+G20</f>
        <v>97652.391000000061</v>
      </c>
      <c r="H25" s="40">
        <f t="shared" si="16"/>
        <v>104607.49054999999</v>
      </c>
      <c r="I25" s="40">
        <f t="shared" si="16"/>
        <v>111972.51947750006</v>
      </c>
      <c r="J25" s="40">
        <f t="shared" si="16"/>
        <v>119769.83948337502</v>
      </c>
      <c r="K25" s="40">
        <f t="shared" si="16"/>
        <v>128022.98631050374</v>
      </c>
      <c r="L25" s="40">
        <f t="shared" si="16"/>
        <v>136756.73012457776</v>
      </c>
      <c r="M25" s="40">
        <f t="shared" si="16"/>
        <v>133152.87162431993</v>
      </c>
      <c r="N25" s="40">
        <f t="shared" si="16"/>
        <v>129440.89736905426</v>
      </c>
      <c r="O25" s="40">
        <f t="shared" si="16"/>
        <v>125617.56388613064</v>
      </c>
      <c r="P25" s="41">
        <f>+P20+P22</f>
        <v>2190231.5471769487</v>
      </c>
    </row>
    <row r="26" spans="1:16" x14ac:dyDescent="0.25">
      <c r="A26" s="210" t="s">
        <v>79</v>
      </c>
      <c r="B26" s="211"/>
      <c r="C26" s="42"/>
      <c r="D26" s="42"/>
      <c r="E26" s="137"/>
      <c r="F26" s="137"/>
      <c r="G26" s="42">
        <f>-IPMT(0.08,1,10,C3,0)+20995+38880</f>
        <v>95875</v>
      </c>
      <c r="H26" s="42">
        <f>-IPMT(0.08,2,10,C3,0)</f>
        <v>33514.938406905283</v>
      </c>
      <c r="I26" s="42">
        <f>-IPMT(0.08,3,10,C3,0)</f>
        <v>30831.071886362988</v>
      </c>
      <c r="J26" s="42">
        <f>-IPMT(0.08,4,10,C3,0)</f>
        <v>27932.496044177311</v>
      </c>
      <c r="K26" s="42">
        <f>-IPMT(0.08,5,10,C3,0)</f>
        <v>24802.034134616784</v>
      </c>
      <c r="L26" s="42">
        <f>-IPMT(0.08,6,10,C3,0)</f>
        <v>21421.135272291416</v>
      </c>
      <c r="M26" s="42">
        <f>-IPMT(0.08,7,10,C3,0)</f>
        <v>17769.764500980007</v>
      </c>
      <c r="N26" s="42">
        <f>-IPMT(0.08,8,10,C3,0)</f>
        <v>13826.284067963696</v>
      </c>
      <c r="O26" s="42">
        <f>-IPMT(0.08,9,10,C3,0)</f>
        <v>9567.3252003060752</v>
      </c>
      <c r="P26" s="43">
        <f>-IPMT(0.08,10,10,C3,0)</f>
        <v>4967.6496232358468</v>
      </c>
    </row>
    <row r="27" spans="1:16" s="6" customFormat="1" x14ac:dyDescent="0.25">
      <c r="A27" s="210" t="s">
        <v>80</v>
      </c>
      <c r="B27" s="211"/>
      <c r="C27" s="42"/>
      <c r="D27" s="42"/>
      <c r="E27" s="137"/>
      <c r="F27" s="137"/>
      <c r="G27" s="42">
        <f>800000/50</f>
        <v>16000</v>
      </c>
      <c r="H27" s="42">
        <f>+G27*1</f>
        <v>16000</v>
      </c>
      <c r="I27" s="42">
        <f t="shared" ref="I27:O27" si="17">+H27*1</f>
        <v>16000</v>
      </c>
      <c r="J27" s="42">
        <f t="shared" si="17"/>
        <v>16000</v>
      </c>
      <c r="K27" s="42">
        <f t="shared" si="17"/>
        <v>16000</v>
      </c>
      <c r="L27" s="42">
        <f t="shared" si="17"/>
        <v>16000</v>
      </c>
      <c r="M27" s="42">
        <f t="shared" si="17"/>
        <v>16000</v>
      </c>
      <c r="N27" s="42">
        <f t="shared" si="17"/>
        <v>16000</v>
      </c>
      <c r="O27" s="42">
        <f t="shared" si="17"/>
        <v>16000</v>
      </c>
      <c r="P27" s="43">
        <v>16000</v>
      </c>
    </row>
    <row r="28" spans="1:16" s="15" customFormat="1" ht="15" thickBot="1" x14ac:dyDescent="0.3">
      <c r="A28" s="212" t="s">
        <v>81</v>
      </c>
      <c r="B28" s="213"/>
      <c r="C28" s="98"/>
      <c r="D28" s="98"/>
      <c r="E28" s="144"/>
      <c r="F28" s="144"/>
      <c r="G28" s="98"/>
      <c r="H28" s="98"/>
      <c r="I28" s="98"/>
      <c r="J28" s="98"/>
      <c r="K28" s="98"/>
      <c r="L28" s="98"/>
      <c r="M28" s="98"/>
      <c r="N28" s="98"/>
      <c r="O28" s="98"/>
      <c r="P28" s="100">
        <v>800000</v>
      </c>
    </row>
    <row r="29" spans="1:16" s="9" customFormat="1" x14ac:dyDescent="0.25">
      <c r="A29" s="214" t="s">
        <v>82</v>
      </c>
      <c r="B29" s="215"/>
      <c r="C29" s="44"/>
      <c r="D29" s="44"/>
      <c r="E29" s="145"/>
      <c r="F29" s="145"/>
      <c r="G29" s="44">
        <f>+G25-G26-G27</f>
        <v>-14222.608999999939</v>
      </c>
      <c r="H29" s="44">
        <f t="shared" ref="H29:O29" si="18">+H25-H26-H27</f>
        <v>55092.552143094712</v>
      </c>
      <c r="I29" s="44">
        <f t="shared" si="18"/>
        <v>65141.447591137068</v>
      </c>
      <c r="J29" s="44">
        <f t="shared" si="18"/>
        <v>75837.343439197706</v>
      </c>
      <c r="K29" s="44">
        <f t="shared" si="18"/>
        <v>87220.952175886952</v>
      </c>
      <c r="L29" s="44">
        <f t="shared" si="18"/>
        <v>99335.594852286347</v>
      </c>
      <c r="M29" s="44">
        <f t="shared" si="18"/>
        <v>99383.107123339927</v>
      </c>
      <c r="N29" s="44">
        <f t="shared" si="18"/>
        <v>99614.613301090561</v>
      </c>
      <c r="O29" s="44">
        <f t="shared" si="18"/>
        <v>100050.23868582456</v>
      </c>
      <c r="P29" s="45">
        <f>+P25-P26-P27-P28</f>
        <v>1369263.8975537131</v>
      </c>
    </row>
    <row r="30" spans="1:16" s="13" customFormat="1" x14ac:dyDescent="0.25">
      <c r="A30" s="216" t="s">
        <v>83</v>
      </c>
      <c r="B30" s="217"/>
      <c r="C30" s="46"/>
      <c r="D30" s="46"/>
      <c r="E30" s="146"/>
      <c r="F30" s="146"/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9">
        <v>0.25</v>
      </c>
      <c r="M30" s="49">
        <v>0.25</v>
      </c>
      <c r="N30" s="49">
        <v>0.25</v>
      </c>
      <c r="O30" s="49">
        <v>0.25</v>
      </c>
      <c r="P30" s="50">
        <v>0.25</v>
      </c>
    </row>
    <row r="31" spans="1:16" s="7" customFormat="1" ht="15" thickBot="1" x14ac:dyDescent="0.3">
      <c r="A31" s="218" t="s">
        <v>84</v>
      </c>
      <c r="B31" s="219"/>
      <c r="C31" s="47"/>
      <c r="D31" s="47"/>
      <c r="E31" s="142"/>
      <c r="F31" s="142"/>
      <c r="G31" s="47">
        <f t="shared" ref="G31:P31" si="19">+G29*G30</f>
        <v>0</v>
      </c>
      <c r="H31" s="47">
        <f t="shared" si="19"/>
        <v>0</v>
      </c>
      <c r="I31" s="47">
        <f t="shared" si="19"/>
        <v>0</v>
      </c>
      <c r="J31" s="47">
        <f t="shared" si="19"/>
        <v>0</v>
      </c>
      <c r="K31" s="47">
        <f t="shared" si="19"/>
        <v>0</v>
      </c>
      <c r="L31" s="47">
        <f t="shared" si="19"/>
        <v>24833.898713071587</v>
      </c>
      <c r="M31" s="47">
        <f t="shared" si="19"/>
        <v>24845.776780834982</v>
      </c>
      <c r="N31" s="47">
        <f t="shared" si="19"/>
        <v>24903.65332527264</v>
      </c>
      <c r="O31" s="47">
        <f t="shared" si="19"/>
        <v>25012.55967145614</v>
      </c>
      <c r="P31" s="48">
        <f t="shared" si="19"/>
        <v>342315.97438842827</v>
      </c>
    </row>
    <row r="32" spans="1:16" ht="15" thickTop="1" x14ac:dyDescent="0.25">
      <c r="A32" s="196" t="s">
        <v>50</v>
      </c>
      <c r="B32" s="161"/>
      <c r="C32" s="15"/>
      <c r="D32" s="15">
        <f>-C2/2-D21</f>
        <v>-225000</v>
      </c>
      <c r="E32" s="137">
        <f>-C2/2-E21</f>
        <v>-225000</v>
      </c>
      <c r="F32" s="137">
        <v>-450000</v>
      </c>
      <c r="G32" s="15">
        <f>+G24-G31</f>
        <v>-29286.078913683872</v>
      </c>
      <c r="H32" s="15">
        <f t="shared" ref="H32:P32" si="20">+H24-H31</f>
        <v>37544.220636316051</v>
      </c>
      <c r="I32" s="15">
        <f t="shared" si="20"/>
        <v>44909.24956381612</v>
      </c>
      <c r="J32" s="15">
        <f t="shared" si="20"/>
        <v>52706.569569691084</v>
      </c>
      <c r="K32" s="15">
        <f t="shared" si="20"/>
        <v>60959.7163968198</v>
      </c>
      <c r="L32" s="15">
        <f t="shared" si="20"/>
        <v>44859.561497822244</v>
      </c>
      <c r="M32" s="15">
        <f t="shared" si="20"/>
        <v>41243.824929801012</v>
      </c>
      <c r="N32" s="15">
        <f t="shared" si="20"/>
        <v>37473.974130097689</v>
      </c>
      <c r="O32" s="15">
        <f t="shared" si="20"/>
        <v>33541.73430099056</v>
      </c>
      <c r="P32" s="24">
        <f t="shared" si="20"/>
        <v>1780852.3028748364</v>
      </c>
    </row>
    <row r="33" spans="1:16" s="10" customFormat="1" x14ac:dyDescent="0.25">
      <c r="A33" s="220" t="s">
        <v>85</v>
      </c>
      <c r="B33" s="221"/>
      <c r="G33" s="10">
        <f>+G20/G21</f>
        <v>0.76928917660975493</v>
      </c>
      <c r="H33" s="10">
        <f t="shared" ref="H33:P33" si="21">+H20/H21</f>
        <v>1.5598328367322174</v>
      </c>
      <c r="I33" s="10">
        <f t="shared" si="21"/>
        <v>1.6696549336412927</v>
      </c>
      <c r="J33" s="10">
        <f t="shared" si="21"/>
        <v>1.785923049047994</v>
      </c>
      <c r="K33" s="10">
        <f t="shared" si="21"/>
        <v>1.9089881312867696</v>
      </c>
      <c r="L33" s="10">
        <f t="shared" si="21"/>
        <v>2.0392195355310765</v>
      </c>
      <c r="M33" s="10">
        <f t="shared" si="21"/>
        <v>1.9854813491155272</v>
      </c>
      <c r="N33" s="10">
        <f t="shared" si="21"/>
        <v>1.9301310171075101</v>
      </c>
      <c r="O33" s="10">
        <f t="shared" si="21"/>
        <v>1.8731201751392528</v>
      </c>
      <c r="P33" s="31">
        <f t="shared" si="21"/>
        <v>1.8143990079119485</v>
      </c>
    </row>
    <row r="34" spans="1:16" s="11" customFormat="1" x14ac:dyDescent="0.25">
      <c r="A34" s="222" t="s">
        <v>86</v>
      </c>
      <c r="B34" s="154"/>
      <c r="C34" s="14">
        <f>IRR(F32:P32)</f>
        <v>0.18611564906982125</v>
      </c>
      <c r="P34" s="33"/>
    </row>
    <row r="35" spans="1:16" s="6" customFormat="1" ht="15" thickBot="1" x14ac:dyDescent="0.3">
      <c r="A35" s="196" t="s">
        <v>87</v>
      </c>
      <c r="B35" s="161"/>
      <c r="C35" s="104">
        <f>NPV(G3, G32:P32)+F32</f>
        <v>585189.7879810736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4"/>
    </row>
    <row r="36" spans="1:16" x14ac:dyDescent="0.25">
      <c r="A36" s="95" t="s">
        <v>25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</row>
    <row r="37" spans="1:16" x14ac:dyDescent="0.25">
      <c r="A37" s="96" t="s">
        <v>26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</sheetData>
  <phoneticPr fontId="2" type="noConversion"/>
  <pageMargins left="0.75" right="0.75" top="1" bottom="1" header="0.5" footer="0.5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130" zoomScaleNormal="130" workbookViewId="0">
      <pane xSplit="2" ySplit="5" topLeftCell="C22" activePane="bottomRight" state="frozen"/>
      <selection activeCell="O29" sqref="O29"/>
      <selection pane="topRight" activeCell="O29" sqref="O29"/>
      <selection pane="bottomLeft" activeCell="O29" sqref="O29"/>
      <selection pane="bottomRight" activeCell="F34" sqref="F34"/>
    </sheetView>
  </sheetViews>
  <sheetFormatPr defaultRowHeight="16.5" x14ac:dyDescent="0.25"/>
  <cols>
    <col min="1" max="1" width="9.5" style="1" customWidth="1"/>
    <col min="2" max="2" width="27.75" style="2" customWidth="1"/>
    <col min="3" max="4" width="7.625" style="2" customWidth="1"/>
    <col min="5" max="5" width="10.125" style="2" customWidth="1"/>
    <col min="6" max="6" width="10.875" style="108" customWidth="1"/>
    <col min="7" max="7" width="7.625" style="2" customWidth="1"/>
    <col min="8" max="8" width="8" style="2" customWidth="1"/>
    <col min="9" max="12" width="7.625" style="2" customWidth="1"/>
    <col min="13" max="13" width="9.125" style="2" customWidth="1"/>
    <col min="14" max="16" width="7.625" style="2" customWidth="1"/>
    <col min="17" max="16384" width="9" style="2"/>
  </cols>
  <sheetData>
    <row r="1" spans="1:16" s="157" customFormat="1" x14ac:dyDescent="0.25">
      <c r="A1" s="153" t="s">
        <v>70</v>
      </c>
      <c r="B1" s="155"/>
      <c r="C1" s="155">
        <v>900000</v>
      </c>
      <c r="D1" s="155"/>
      <c r="E1" s="155"/>
      <c r="F1" s="184"/>
      <c r="G1" s="155"/>
      <c r="H1" s="155"/>
      <c r="I1" s="155"/>
      <c r="J1" s="155"/>
      <c r="K1" s="155"/>
      <c r="L1" s="155"/>
      <c r="M1" s="155"/>
      <c r="N1" s="155"/>
      <c r="O1" s="155"/>
      <c r="P1" s="156" t="s">
        <v>22</v>
      </c>
    </row>
    <row r="2" spans="1:16" s="157" customFormat="1" x14ac:dyDescent="0.25">
      <c r="A2" s="158" t="s">
        <v>17</v>
      </c>
      <c r="B2" s="174">
        <v>0.2</v>
      </c>
      <c r="C2" s="160">
        <f>+C1*B2</f>
        <v>180000</v>
      </c>
      <c r="D2" s="160"/>
      <c r="E2" s="160"/>
      <c r="F2" s="185"/>
      <c r="G2" s="160"/>
      <c r="H2" s="160"/>
      <c r="I2" s="160"/>
      <c r="J2" s="160"/>
      <c r="K2" s="160"/>
      <c r="L2" s="160"/>
      <c r="M2" s="160"/>
      <c r="N2" s="160"/>
      <c r="O2" s="160"/>
      <c r="P2" s="193" t="s">
        <v>69</v>
      </c>
    </row>
    <row r="3" spans="1:16" s="157" customFormat="1" x14ac:dyDescent="0.25">
      <c r="A3" s="162" t="s">
        <v>18</v>
      </c>
      <c r="B3" s="164"/>
      <c r="C3" s="164">
        <f>+C1-C2</f>
        <v>720000</v>
      </c>
      <c r="D3" s="164"/>
      <c r="E3" s="164"/>
      <c r="F3" s="186" t="s">
        <v>59</v>
      </c>
      <c r="G3" s="175">
        <v>0.08</v>
      </c>
      <c r="H3" s="164"/>
      <c r="I3" s="167"/>
      <c r="J3" s="168" t="s">
        <v>24</v>
      </c>
      <c r="K3" s="176">
        <f>-PMT(0.08,10,C3)</f>
        <v>107301.2318618943</v>
      </c>
      <c r="L3" s="164"/>
      <c r="M3" s="164"/>
      <c r="N3" s="164"/>
      <c r="O3" s="164"/>
      <c r="P3" s="163"/>
    </row>
    <row r="4" spans="1:16" s="157" customFormat="1" ht="17.25" thickBot="1" x14ac:dyDescent="0.3">
      <c r="A4" s="177"/>
      <c r="F4" s="189" t="s">
        <v>35</v>
      </c>
      <c r="G4" s="191"/>
      <c r="I4" s="180"/>
      <c r="J4" s="181" t="s">
        <v>60</v>
      </c>
      <c r="K4" s="192"/>
    </row>
    <row r="5" spans="1:16" s="78" customFormat="1" thickBot="1" x14ac:dyDescent="0.3">
      <c r="A5" s="77" t="s">
        <v>19</v>
      </c>
      <c r="B5" s="79"/>
      <c r="C5" s="80"/>
      <c r="D5" s="122" t="s">
        <v>0</v>
      </c>
      <c r="E5" s="122" t="s">
        <v>1</v>
      </c>
      <c r="F5" s="103">
        <v>0</v>
      </c>
      <c r="G5" s="80">
        <v>1</v>
      </c>
      <c r="H5" s="80">
        <f>+G5+1</f>
        <v>2</v>
      </c>
      <c r="I5" s="80">
        <f t="shared" ref="I5:N5" si="0">+H5+1</f>
        <v>3</v>
      </c>
      <c r="J5" s="80">
        <f t="shared" si="0"/>
        <v>4</v>
      </c>
      <c r="K5" s="80">
        <f t="shared" si="0"/>
        <v>5</v>
      </c>
      <c r="L5" s="80">
        <f t="shared" si="0"/>
        <v>6</v>
      </c>
      <c r="M5" s="80">
        <f t="shared" si="0"/>
        <v>7</v>
      </c>
      <c r="N5" s="80">
        <f t="shared" si="0"/>
        <v>8</v>
      </c>
      <c r="O5" s="80">
        <f>+N5+1</f>
        <v>9</v>
      </c>
      <c r="P5" s="82">
        <f>+O5+1</f>
        <v>10</v>
      </c>
    </row>
    <row r="6" spans="1:16" x14ac:dyDescent="0.25">
      <c r="A6" s="196" t="s">
        <v>5</v>
      </c>
      <c r="B6" s="161" t="s">
        <v>39</v>
      </c>
      <c r="C6" s="15"/>
      <c r="D6" s="123"/>
      <c r="E6" s="123"/>
      <c r="F6" s="106"/>
      <c r="G6" s="15">
        <v>51593</v>
      </c>
      <c r="H6" s="15">
        <f t="shared" ref="H6:L9" si="1">+G6*1.05</f>
        <v>54172.65</v>
      </c>
      <c r="I6" s="15">
        <f t="shared" si="1"/>
        <v>56881.282500000001</v>
      </c>
      <c r="J6" s="15">
        <f t="shared" si="1"/>
        <v>59725.346625000006</v>
      </c>
      <c r="K6" s="15">
        <f t="shared" si="1"/>
        <v>62711.61395625001</v>
      </c>
      <c r="L6" s="15">
        <f t="shared" si="1"/>
        <v>65847.194654062507</v>
      </c>
      <c r="M6" s="15">
        <f t="shared" ref="M6:P9" si="2">+L6*1</f>
        <v>65847.194654062507</v>
      </c>
      <c r="N6" s="15">
        <f t="shared" si="2"/>
        <v>65847.194654062507</v>
      </c>
      <c r="O6" s="15">
        <f t="shared" si="2"/>
        <v>65847.194654062507</v>
      </c>
      <c r="P6" s="24">
        <f t="shared" si="2"/>
        <v>65847.194654062507</v>
      </c>
    </row>
    <row r="7" spans="1:16" x14ac:dyDescent="0.25">
      <c r="A7" s="196" t="s">
        <v>6</v>
      </c>
      <c r="B7" s="161" t="s">
        <v>40</v>
      </c>
      <c r="C7" s="15"/>
      <c r="D7" s="123"/>
      <c r="E7" s="123"/>
      <c r="F7" s="106"/>
      <c r="G7" s="15">
        <v>16800</v>
      </c>
      <c r="H7" s="15">
        <f t="shared" si="1"/>
        <v>17640</v>
      </c>
      <c r="I7" s="15">
        <f t="shared" si="1"/>
        <v>18522</v>
      </c>
      <c r="J7" s="15">
        <f t="shared" si="1"/>
        <v>19448.100000000002</v>
      </c>
      <c r="K7" s="15">
        <f t="shared" si="1"/>
        <v>20420.505000000005</v>
      </c>
      <c r="L7" s="15">
        <f t="shared" si="1"/>
        <v>21441.530250000007</v>
      </c>
      <c r="M7" s="15">
        <f t="shared" si="2"/>
        <v>21441.530250000007</v>
      </c>
      <c r="N7" s="15">
        <f t="shared" si="2"/>
        <v>21441.530250000007</v>
      </c>
      <c r="O7" s="15">
        <f t="shared" si="2"/>
        <v>21441.530250000007</v>
      </c>
      <c r="P7" s="24">
        <f t="shared" si="2"/>
        <v>21441.530250000007</v>
      </c>
    </row>
    <row r="8" spans="1:16" x14ac:dyDescent="0.25">
      <c r="A8" s="196" t="s">
        <v>7</v>
      </c>
      <c r="B8" s="161" t="s">
        <v>88</v>
      </c>
      <c r="C8" s="15"/>
      <c r="D8" s="123"/>
      <c r="E8" s="123"/>
      <c r="F8" s="106"/>
      <c r="G8" s="15">
        <v>282009</v>
      </c>
      <c r="H8" s="15">
        <f t="shared" si="1"/>
        <v>296109.45</v>
      </c>
      <c r="I8" s="15">
        <f t="shared" si="1"/>
        <v>310914.92250000004</v>
      </c>
      <c r="J8" s="15">
        <f t="shared" si="1"/>
        <v>326460.66862500005</v>
      </c>
      <c r="K8" s="15">
        <f t="shared" si="1"/>
        <v>342783.70205625007</v>
      </c>
      <c r="L8" s="15">
        <f t="shared" si="1"/>
        <v>359922.88715906261</v>
      </c>
      <c r="M8" s="15">
        <f t="shared" si="2"/>
        <v>359922.88715906261</v>
      </c>
      <c r="N8" s="15">
        <f t="shared" si="2"/>
        <v>359922.88715906261</v>
      </c>
      <c r="O8" s="15">
        <f t="shared" si="2"/>
        <v>359922.88715906261</v>
      </c>
      <c r="P8" s="24">
        <f t="shared" si="2"/>
        <v>359922.88715906261</v>
      </c>
    </row>
    <row r="9" spans="1:16" x14ac:dyDescent="0.25">
      <c r="A9" s="197" t="s">
        <v>8</v>
      </c>
      <c r="B9" s="163" t="s">
        <v>41</v>
      </c>
      <c r="C9" s="6"/>
      <c r="D9" s="124"/>
      <c r="E9" s="124"/>
      <c r="F9" s="107"/>
      <c r="G9" s="6">
        <v>43075</v>
      </c>
      <c r="H9" s="6">
        <f t="shared" si="1"/>
        <v>45228.75</v>
      </c>
      <c r="I9" s="6">
        <f t="shared" si="1"/>
        <v>47490.1875</v>
      </c>
      <c r="J9" s="6">
        <f t="shared" si="1"/>
        <v>49864.696875000001</v>
      </c>
      <c r="K9" s="6">
        <f t="shared" si="1"/>
        <v>52357.931718750006</v>
      </c>
      <c r="L9" s="6">
        <f t="shared" si="1"/>
        <v>54975.828304687508</v>
      </c>
      <c r="M9" s="6">
        <f t="shared" si="2"/>
        <v>54975.828304687508</v>
      </c>
      <c r="N9" s="6">
        <f t="shared" si="2"/>
        <v>54975.828304687508</v>
      </c>
      <c r="O9" s="6">
        <f t="shared" si="2"/>
        <v>54975.828304687508</v>
      </c>
      <c r="P9" s="28">
        <f t="shared" si="2"/>
        <v>54975.828304687508</v>
      </c>
    </row>
    <row r="10" spans="1:16" s="3" customFormat="1" x14ac:dyDescent="0.25">
      <c r="A10" s="198" t="s">
        <v>72</v>
      </c>
      <c r="B10" s="199" t="s">
        <v>42</v>
      </c>
      <c r="D10" s="125"/>
      <c r="E10" s="125"/>
      <c r="F10" s="133"/>
      <c r="G10" s="3">
        <f>SUM(G6:G9)</f>
        <v>393477</v>
      </c>
      <c r="H10" s="3">
        <f t="shared" ref="H10:O10" si="3">SUM(H6:H9)</f>
        <v>413150.85</v>
      </c>
      <c r="I10" s="3">
        <f t="shared" si="3"/>
        <v>433808.39250000007</v>
      </c>
      <c r="J10" s="3">
        <f t="shared" si="3"/>
        <v>455498.81212500005</v>
      </c>
      <c r="K10" s="3">
        <f t="shared" si="3"/>
        <v>478273.75273125008</v>
      </c>
      <c r="L10" s="3">
        <f t="shared" si="3"/>
        <v>502187.44036781264</v>
      </c>
      <c r="M10" s="3">
        <f t="shared" si="3"/>
        <v>502187.44036781264</v>
      </c>
      <c r="N10" s="3">
        <f t="shared" si="3"/>
        <v>502187.44036781264</v>
      </c>
      <c r="O10" s="3">
        <f t="shared" si="3"/>
        <v>502187.44036781264</v>
      </c>
      <c r="P10" s="25">
        <f>+P6+P7+P8+P9</f>
        <v>502187.44036781264</v>
      </c>
    </row>
    <row r="11" spans="1:16" x14ac:dyDescent="0.25">
      <c r="A11" s="196" t="s">
        <v>9</v>
      </c>
      <c r="B11" s="161" t="s">
        <v>43</v>
      </c>
      <c r="C11" s="15"/>
      <c r="D11" s="123"/>
      <c r="E11" s="123"/>
      <c r="F11" s="106"/>
      <c r="G11" s="15">
        <v>18504</v>
      </c>
      <c r="H11" s="15">
        <f>+G11*1.03</f>
        <v>19059.12</v>
      </c>
      <c r="I11" s="15">
        <f t="shared" ref="I11:P11" si="4">+H11*1.03</f>
        <v>19630.893599999999</v>
      </c>
      <c r="J11" s="15">
        <f t="shared" si="4"/>
        <v>20219.820408</v>
      </c>
      <c r="K11" s="15">
        <f t="shared" si="4"/>
        <v>20826.415020240001</v>
      </c>
      <c r="L11" s="15">
        <f t="shared" si="4"/>
        <v>21451.207470847203</v>
      </c>
      <c r="M11" s="15">
        <f t="shared" si="4"/>
        <v>22094.743694972618</v>
      </c>
      <c r="N11" s="15">
        <f t="shared" si="4"/>
        <v>22757.586005821799</v>
      </c>
      <c r="O11" s="15">
        <f t="shared" si="4"/>
        <v>23440.313585996453</v>
      </c>
      <c r="P11" s="24">
        <f t="shared" si="4"/>
        <v>24143.522993576349</v>
      </c>
    </row>
    <row r="12" spans="1:16" x14ac:dyDescent="0.25">
      <c r="A12" s="196" t="s">
        <v>10</v>
      </c>
      <c r="B12" s="161" t="s">
        <v>44</v>
      </c>
      <c r="C12" s="15"/>
      <c r="D12" s="123"/>
      <c r="E12" s="123"/>
      <c r="F12" s="106"/>
      <c r="G12" s="15">
        <f>+G6*0.1</f>
        <v>5159.3</v>
      </c>
      <c r="H12" s="15">
        <f t="shared" ref="H12:P12" si="5">+H6*0.1</f>
        <v>5417.2650000000003</v>
      </c>
      <c r="I12" s="15">
        <f t="shared" si="5"/>
        <v>5688.1282500000007</v>
      </c>
      <c r="J12" s="15">
        <f t="shared" si="5"/>
        <v>5972.5346625000011</v>
      </c>
      <c r="K12" s="15">
        <f t="shared" si="5"/>
        <v>6271.1613956250012</v>
      </c>
      <c r="L12" s="15">
        <f t="shared" si="5"/>
        <v>6584.7194654062514</v>
      </c>
      <c r="M12" s="15">
        <f t="shared" si="5"/>
        <v>6584.7194654062514</v>
      </c>
      <c r="N12" s="15">
        <f t="shared" si="5"/>
        <v>6584.7194654062514</v>
      </c>
      <c r="O12" s="15">
        <f t="shared" si="5"/>
        <v>6584.7194654062514</v>
      </c>
      <c r="P12" s="24">
        <f t="shared" si="5"/>
        <v>6584.7194654062514</v>
      </c>
    </row>
    <row r="13" spans="1:16" x14ac:dyDescent="0.25">
      <c r="A13" s="196" t="s">
        <v>11</v>
      </c>
      <c r="B13" s="161" t="s">
        <v>89</v>
      </c>
      <c r="C13" s="15"/>
      <c r="D13" s="123"/>
      <c r="E13" s="123"/>
      <c r="F13" s="106"/>
      <c r="G13" s="15">
        <f>+G8*0.5</f>
        <v>141004.5</v>
      </c>
      <c r="H13" s="15">
        <f t="shared" ref="H13:O13" si="6">+H8*0.5</f>
        <v>148054.72500000001</v>
      </c>
      <c r="I13" s="15">
        <f t="shared" si="6"/>
        <v>155457.46125000002</v>
      </c>
      <c r="J13" s="15">
        <f t="shared" si="6"/>
        <v>163230.33431250002</v>
      </c>
      <c r="K13" s="15">
        <f t="shared" si="6"/>
        <v>171391.85102812503</v>
      </c>
      <c r="L13" s="15">
        <f t="shared" si="6"/>
        <v>179961.4435795313</v>
      </c>
      <c r="M13" s="15">
        <f t="shared" si="6"/>
        <v>179961.4435795313</v>
      </c>
      <c r="N13" s="15">
        <f t="shared" si="6"/>
        <v>179961.4435795313</v>
      </c>
      <c r="O13" s="15">
        <f t="shared" si="6"/>
        <v>179961.4435795313</v>
      </c>
      <c r="P13" s="24">
        <f>+P8*0.5</f>
        <v>179961.4435795313</v>
      </c>
    </row>
    <row r="14" spans="1:16" x14ac:dyDescent="0.25">
      <c r="A14" s="196" t="s">
        <v>12</v>
      </c>
      <c r="B14" s="161" t="s">
        <v>45</v>
      </c>
      <c r="C14" s="15"/>
      <c r="D14" s="123"/>
      <c r="E14" s="123"/>
      <c r="F14" s="106"/>
      <c r="G14" s="15">
        <v>85120</v>
      </c>
      <c r="H14" s="15">
        <f>+G14*1.03</f>
        <v>87673.600000000006</v>
      </c>
      <c r="I14" s="15">
        <f t="shared" ref="I14:P14" si="7">+H14*1.03</f>
        <v>90303.808000000005</v>
      </c>
      <c r="J14" s="15">
        <f t="shared" si="7"/>
        <v>93012.92224</v>
      </c>
      <c r="K14" s="15">
        <f t="shared" si="7"/>
        <v>95803.309907200004</v>
      </c>
      <c r="L14" s="15">
        <f t="shared" si="7"/>
        <v>98677.409204416006</v>
      </c>
      <c r="M14" s="15">
        <f t="shared" si="7"/>
        <v>101637.73148054849</v>
      </c>
      <c r="N14" s="15">
        <f t="shared" si="7"/>
        <v>104686.86342496495</v>
      </c>
      <c r="O14" s="15">
        <f t="shared" si="7"/>
        <v>107827.4693277139</v>
      </c>
      <c r="P14" s="24">
        <f t="shared" si="7"/>
        <v>111062.29340754532</v>
      </c>
    </row>
    <row r="15" spans="1:16" x14ac:dyDescent="0.25">
      <c r="A15" s="196" t="s">
        <v>13</v>
      </c>
      <c r="B15" s="161" t="s">
        <v>46</v>
      </c>
      <c r="C15" s="15"/>
      <c r="D15" s="123"/>
      <c r="E15" s="123"/>
      <c r="F15" s="106"/>
      <c r="G15" s="15">
        <f>+G10*0.035</f>
        <v>13771.695000000002</v>
      </c>
      <c r="H15" s="15">
        <f t="shared" ref="H15:P15" si="8">+H10*0.035</f>
        <v>14460.27975</v>
      </c>
      <c r="I15" s="15">
        <f t="shared" si="8"/>
        <v>15183.293737500004</v>
      </c>
      <c r="J15" s="15">
        <f t="shared" si="8"/>
        <v>15942.458424375003</v>
      </c>
      <c r="K15" s="15">
        <f t="shared" si="8"/>
        <v>16739.581345593753</v>
      </c>
      <c r="L15" s="15">
        <f t="shared" si="8"/>
        <v>17576.560412873445</v>
      </c>
      <c r="M15" s="15">
        <f t="shared" si="8"/>
        <v>17576.560412873445</v>
      </c>
      <c r="N15" s="15">
        <f t="shared" si="8"/>
        <v>17576.560412873445</v>
      </c>
      <c r="O15" s="15">
        <f t="shared" si="8"/>
        <v>17576.560412873445</v>
      </c>
      <c r="P15" s="24">
        <f t="shared" si="8"/>
        <v>17576.560412873445</v>
      </c>
    </row>
    <row r="16" spans="1:16" x14ac:dyDescent="0.25">
      <c r="A16" s="196" t="s">
        <v>14</v>
      </c>
      <c r="B16" s="161" t="s">
        <v>90</v>
      </c>
      <c r="C16" s="15"/>
      <c r="D16" s="123"/>
      <c r="E16" s="123"/>
      <c r="F16" s="106"/>
      <c r="G16" s="15">
        <f>+G10*0.02</f>
        <v>7869.54</v>
      </c>
      <c r="H16" s="15">
        <f t="shared" ref="H16:P16" si="9">+H10*0.02</f>
        <v>8263.0169999999998</v>
      </c>
      <c r="I16" s="15">
        <f t="shared" si="9"/>
        <v>8676.1678500000016</v>
      </c>
      <c r="J16" s="15">
        <f t="shared" si="9"/>
        <v>9109.9762425000008</v>
      </c>
      <c r="K16" s="15">
        <f t="shared" si="9"/>
        <v>9565.4750546250016</v>
      </c>
      <c r="L16" s="15">
        <f t="shared" si="9"/>
        <v>10043.748807356253</v>
      </c>
      <c r="M16" s="15">
        <f t="shared" si="9"/>
        <v>10043.748807356253</v>
      </c>
      <c r="N16" s="15">
        <f t="shared" si="9"/>
        <v>10043.748807356253</v>
      </c>
      <c r="O16" s="15">
        <f t="shared" si="9"/>
        <v>10043.748807356253</v>
      </c>
      <c r="P16" s="24">
        <f t="shared" si="9"/>
        <v>10043.748807356253</v>
      </c>
    </row>
    <row r="17" spans="1:16" x14ac:dyDescent="0.25">
      <c r="A17" s="196" t="s">
        <v>15</v>
      </c>
      <c r="B17" s="161" t="s">
        <v>47</v>
      </c>
      <c r="C17" s="15"/>
      <c r="D17" s="123"/>
      <c r="E17" s="123"/>
      <c r="F17" s="106"/>
      <c r="G17" s="15">
        <f>+G10*0.012</f>
        <v>4721.7240000000002</v>
      </c>
      <c r="H17" s="15">
        <f t="shared" ref="H17:P17" si="10">+H10*0.012</f>
        <v>4957.8101999999999</v>
      </c>
      <c r="I17" s="15">
        <f t="shared" si="10"/>
        <v>5205.700710000001</v>
      </c>
      <c r="J17" s="15">
        <f t="shared" si="10"/>
        <v>5465.985745500001</v>
      </c>
      <c r="K17" s="15">
        <f t="shared" si="10"/>
        <v>5739.2850327750011</v>
      </c>
      <c r="L17" s="15">
        <f t="shared" si="10"/>
        <v>6026.2492844137514</v>
      </c>
      <c r="M17" s="15">
        <f t="shared" si="10"/>
        <v>6026.2492844137514</v>
      </c>
      <c r="N17" s="15">
        <f t="shared" si="10"/>
        <v>6026.2492844137514</v>
      </c>
      <c r="O17" s="15">
        <f t="shared" si="10"/>
        <v>6026.2492844137514</v>
      </c>
      <c r="P17" s="24">
        <f t="shared" si="10"/>
        <v>6026.2492844137514</v>
      </c>
    </row>
    <row r="18" spans="1:16" x14ac:dyDescent="0.25">
      <c r="A18" s="197" t="s">
        <v>16</v>
      </c>
      <c r="B18" s="163" t="s">
        <v>48</v>
      </c>
      <c r="C18" s="6"/>
      <c r="D18" s="124"/>
      <c r="E18" s="124"/>
      <c r="F18" s="107"/>
      <c r="G18" s="6">
        <f>+G10*0.05</f>
        <v>19673.850000000002</v>
      </c>
      <c r="H18" s="6">
        <f t="shared" ref="H18:P18" si="11">+H10*0.05</f>
        <v>20657.5425</v>
      </c>
      <c r="I18" s="6">
        <f t="shared" si="11"/>
        <v>21690.419625000006</v>
      </c>
      <c r="J18" s="6">
        <f t="shared" si="11"/>
        <v>22774.940606250006</v>
      </c>
      <c r="K18" s="6">
        <f t="shared" si="11"/>
        <v>23913.687636562507</v>
      </c>
      <c r="L18" s="6">
        <f t="shared" si="11"/>
        <v>25109.372018390633</v>
      </c>
      <c r="M18" s="6">
        <f t="shared" si="11"/>
        <v>25109.372018390633</v>
      </c>
      <c r="N18" s="6">
        <f t="shared" si="11"/>
        <v>25109.372018390633</v>
      </c>
      <c r="O18" s="6">
        <f t="shared" si="11"/>
        <v>25109.372018390633</v>
      </c>
      <c r="P18" s="28">
        <f t="shared" si="11"/>
        <v>25109.372018390633</v>
      </c>
    </row>
    <row r="19" spans="1:16" s="4" customFormat="1" x14ac:dyDescent="0.25">
      <c r="A19" s="200" t="s">
        <v>73</v>
      </c>
      <c r="B19" s="201" t="s">
        <v>91</v>
      </c>
      <c r="D19" s="126"/>
      <c r="E19" s="126"/>
      <c r="F19" s="134"/>
      <c r="G19" s="4">
        <f>SUM(G11:G18)</f>
        <v>295824.60899999994</v>
      </c>
      <c r="H19" s="4">
        <f t="shared" ref="H19:P19" si="12">SUM(H11:H18)</f>
        <v>308543.35944999999</v>
      </c>
      <c r="I19" s="4">
        <f t="shared" si="12"/>
        <v>321835.87302250002</v>
      </c>
      <c r="J19" s="4">
        <f t="shared" si="12"/>
        <v>335728.97264162503</v>
      </c>
      <c r="K19" s="4">
        <f t="shared" si="12"/>
        <v>350250.76642074634</v>
      </c>
      <c r="L19" s="4">
        <f t="shared" si="12"/>
        <v>365430.71024323488</v>
      </c>
      <c r="M19" s="4">
        <f t="shared" si="12"/>
        <v>369034.56874349271</v>
      </c>
      <c r="N19" s="4">
        <f t="shared" si="12"/>
        <v>372746.54299875838</v>
      </c>
      <c r="O19" s="4">
        <f t="shared" si="12"/>
        <v>376569.876481682</v>
      </c>
      <c r="P19" s="26">
        <f t="shared" si="12"/>
        <v>380507.90996909328</v>
      </c>
    </row>
    <row r="20" spans="1:16" s="5" customFormat="1" ht="17.25" customHeight="1" x14ac:dyDescent="0.25">
      <c r="A20" s="202" t="s">
        <v>74</v>
      </c>
      <c r="B20" s="203" t="s">
        <v>92</v>
      </c>
      <c r="C20" s="19"/>
      <c r="D20" s="127"/>
      <c r="E20" s="127"/>
      <c r="F20" s="111"/>
      <c r="G20" s="19">
        <f>+G10-G19</f>
        <v>97652.391000000061</v>
      </c>
      <c r="H20" s="19">
        <f t="shared" ref="H20:P20" si="13">+H10-H19</f>
        <v>104607.49054999999</v>
      </c>
      <c r="I20" s="19">
        <f t="shared" si="13"/>
        <v>111972.51947750006</v>
      </c>
      <c r="J20" s="19">
        <f t="shared" si="13"/>
        <v>119769.83948337502</v>
      </c>
      <c r="K20" s="19">
        <f t="shared" si="13"/>
        <v>128022.98631050374</v>
      </c>
      <c r="L20" s="19">
        <f t="shared" si="13"/>
        <v>136756.73012457776</v>
      </c>
      <c r="M20" s="19">
        <f t="shared" si="13"/>
        <v>133152.87162431993</v>
      </c>
      <c r="N20" s="19">
        <f t="shared" si="13"/>
        <v>129440.89736905426</v>
      </c>
      <c r="O20" s="19">
        <f t="shared" si="13"/>
        <v>125617.56388613064</v>
      </c>
      <c r="P20" s="27">
        <f t="shared" si="13"/>
        <v>121679.53039871936</v>
      </c>
    </row>
    <row r="21" spans="1:16" x14ac:dyDescent="0.25">
      <c r="A21" s="204" t="s">
        <v>75</v>
      </c>
      <c r="B21" s="161" t="s">
        <v>93</v>
      </c>
      <c r="C21" s="15"/>
      <c r="D21" s="123"/>
      <c r="E21" s="123"/>
      <c r="F21" s="106"/>
      <c r="G21" s="15">
        <f>+K3+C3*G3*(1+G3)+C3/2*G3*(1+G3)*(1+G3)</f>
        <v>203101.55186189432</v>
      </c>
      <c r="H21" s="15">
        <f>+K3</f>
        <v>107301.2318618943</v>
      </c>
      <c r="I21" s="15">
        <f t="shared" ref="I21:P21" si="14">+H21*1</f>
        <v>107301.2318618943</v>
      </c>
      <c r="J21" s="15">
        <f t="shared" si="14"/>
        <v>107301.2318618943</v>
      </c>
      <c r="K21" s="15">
        <f t="shared" si="14"/>
        <v>107301.2318618943</v>
      </c>
      <c r="L21" s="15">
        <f t="shared" si="14"/>
        <v>107301.2318618943</v>
      </c>
      <c r="M21" s="15">
        <f t="shared" si="14"/>
        <v>107301.2318618943</v>
      </c>
      <c r="N21" s="15">
        <f t="shared" si="14"/>
        <v>107301.2318618943</v>
      </c>
      <c r="O21" s="15">
        <f t="shared" si="14"/>
        <v>107301.2318618943</v>
      </c>
      <c r="P21" s="24">
        <f t="shared" si="14"/>
        <v>107301.2318618943</v>
      </c>
    </row>
    <row r="22" spans="1:16" x14ac:dyDescent="0.25">
      <c r="A22" s="204" t="s">
        <v>76</v>
      </c>
      <c r="B22" s="161"/>
      <c r="C22" s="15"/>
      <c r="D22" s="123"/>
      <c r="E22" s="123"/>
      <c r="F22" s="106"/>
      <c r="G22" s="15"/>
      <c r="H22" s="15"/>
      <c r="I22" s="15"/>
      <c r="J22" s="15"/>
      <c r="K22" s="15"/>
      <c r="L22" s="15"/>
      <c r="M22" s="15"/>
      <c r="N22" s="15"/>
      <c r="O22" s="15"/>
      <c r="P22" s="24">
        <f>+P20*(1+0.02)/(G3-0.02)</f>
        <v>2068552.0167782293</v>
      </c>
    </row>
    <row r="23" spans="1:16" s="6" customFormat="1" x14ac:dyDescent="0.25">
      <c r="A23" s="205" t="s">
        <v>77</v>
      </c>
      <c r="B23" s="163"/>
      <c r="D23" s="124"/>
      <c r="E23" s="124"/>
      <c r="F23" s="107"/>
      <c r="P23" s="28">
        <v>0</v>
      </c>
    </row>
    <row r="24" spans="1:16" s="7" customFormat="1" ht="17.25" thickBot="1" x14ac:dyDescent="0.3">
      <c r="A24" s="206" t="s">
        <v>49</v>
      </c>
      <c r="B24" s="207"/>
      <c r="D24" s="128"/>
      <c r="E24" s="128"/>
      <c r="F24" s="112"/>
      <c r="G24" s="7">
        <f>+G20-G21+G22-G23</f>
        <v>-105449.16086189426</v>
      </c>
      <c r="H24" s="7">
        <f t="shared" ref="H24:P24" si="15">+H20-H21+H22-H23</f>
        <v>-2693.7413118943077</v>
      </c>
      <c r="I24" s="7">
        <f t="shared" si="15"/>
        <v>4671.2876156057609</v>
      </c>
      <c r="J24" s="7">
        <f t="shared" si="15"/>
        <v>12468.607621480725</v>
      </c>
      <c r="K24" s="7">
        <f t="shared" si="15"/>
        <v>20721.754448609441</v>
      </c>
      <c r="L24" s="7">
        <f t="shared" si="15"/>
        <v>29455.498262683468</v>
      </c>
      <c r="M24" s="7">
        <f t="shared" si="15"/>
        <v>25851.639762425635</v>
      </c>
      <c r="N24" s="7">
        <f t="shared" si="15"/>
        <v>22139.665507159967</v>
      </c>
      <c r="O24" s="7">
        <f t="shared" si="15"/>
        <v>18316.332024236341</v>
      </c>
      <c r="P24" s="29">
        <f t="shared" si="15"/>
        <v>2082930.3153150543</v>
      </c>
    </row>
    <row r="25" spans="1:16" s="8" customFormat="1" ht="17.25" thickTop="1" x14ac:dyDescent="0.25">
      <c r="A25" s="208" t="s">
        <v>78</v>
      </c>
      <c r="B25" s="209"/>
      <c r="C25" s="40"/>
      <c r="D25" s="129"/>
      <c r="E25" s="129"/>
      <c r="F25" s="113"/>
      <c r="G25" s="40">
        <f>+G20</f>
        <v>97652.391000000061</v>
      </c>
      <c r="H25" s="40">
        <f t="shared" ref="H25:O25" si="16">+H20</f>
        <v>104607.49054999999</v>
      </c>
      <c r="I25" s="40">
        <f t="shared" si="16"/>
        <v>111972.51947750006</v>
      </c>
      <c r="J25" s="40">
        <f t="shared" si="16"/>
        <v>119769.83948337502</v>
      </c>
      <c r="K25" s="40">
        <f t="shared" si="16"/>
        <v>128022.98631050374</v>
      </c>
      <c r="L25" s="40">
        <f t="shared" si="16"/>
        <v>136756.73012457776</v>
      </c>
      <c r="M25" s="40">
        <f t="shared" si="16"/>
        <v>133152.87162431993</v>
      </c>
      <c r="N25" s="40">
        <f t="shared" si="16"/>
        <v>129440.89736905426</v>
      </c>
      <c r="O25" s="40">
        <f t="shared" si="16"/>
        <v>125617.56388613064</v>
      </c>
      <c r="P25" s="41">
        <f>+P20+P22</f>
        <v>2190231.5471769487</v>
      </c>
    </row>
    <row r="26" spans="1:16" x14ac:dyDescent="0.25">
      <c r="A26" s="210" t="s">
        <v>79</v>
      </c>
      <c r="B26" s="211"/>
      <c r="C26" s="42"/>
      <c r="D26" s="123"/>
      <c r="E26" s="123"/>
      <c r="F26" s="114"/>
      <c r="G26" s="42">
        <f>-IPMT(0.08,1,10,C3,0)+C3*G3*(1+G3)+C3/2*G3*(1+G3)*(1+G3)</f>
        <v>153400.32000000001</v>
      </c>
      <c r="H26" s="42">
        <f>-IPMT(0.08,2,10,C3,0)</f>
        <v>53623.901451048463</v>
      </c>
      <c r="I26" s="42">
        <f>-IPMT(0.08,3,10,C3,0)</f>
        <v>49329.715018180788</v>
      </c>
      <c r="J26" s="42">
        <f>-IPMT(0.08,4,10,C3,0)</f>
        <v>44691.993670683696</v>
      </c>
      <c r="K26" s="42">
        <f>-IPMT(0.08,5,10,C3,0)</f>
        <v>39683.254615386853</v>
      </c>
      <c r="L26" s="42">
        <f>-IPMT(0.08,6,10,C3,0)</f>
        <v>34273.81643566626</v>
      </c>
      <c r="M26" s="42">
        <f>-IPMT(0.08,7,10,C3,0)</f>
        <v>28431.623201568011</v>
      </c>
      <c r="N26" s="42">
        <f>-IPMT(0.08,8,10,C3,0)</f>
        <v>22122.054508741912</v>
      </c>
      <c r="O26" s="42">
        <f>-IPMT(0.08,9,10,C3,0)</f>
        <v>15307.720320489721</v>
      </c>
      <c r="P26" s="43">
        <f>-IPMT(0.08,10,10,C3,0)</f>
        <v>7948.2393971773554</v>
      </c>
    </row>
    <row r="27" spans="1:16" s="6" customFormat="1" x14ac:dyDescent="0.25">
      <c r="A27" s="210" t="s">
        <v>80</v>
      </c>
      <c r="B27" s="211"/>
      <c r="C27" s="42"/>
      <c r="D27" s="123"/>
      <c r="E27" s="123"/>
      <c r="F27" s="114"/>
      <c r="G27" s="42">
        <f>800000/50</f>
        <v>16000</v>
      </c>
      <c r="H27" s="42">
        <f>+G27*1</f>
        <v>16000</v>
      </c>
      <c r="I27" s="42">
        <f t="shared" ref="I27:O27" si="17">+H27*1</f>
        <v>16000</v>
      </c>
      <c r="J27" s="42">
        <f t="shared" si="17"/>
        <v>16000</v>
      </c>
      <c r="K27" s="42">
        <f t="shared" si="17"/>
        <v>16000</v>
      </c>
      <c r="L27" s="42">
        <f t="shared" si="17"/>
        <v>16000</v>
      </c>
      <c r="M27" s="42">
        <f t="shared" si="17"/>
        <v>16000</v>
      </c>
      <c r="N27" s="42">
        <f t="shared" si="17"/>
        <v>16000</v>
      </c>
      <c r="O27" s="42">
        <f t="shared" si="17"/>
        <v>16000</v>
      </c>
      <c r="P27" s="43">
        <v>16000</v>
      </c>
    </row>
    <row r="28" spans="1:16" s="15" customFormat="1" ht="17.25" thickBot="1" x14ac:dyDescent="0.3">
      <c r="A28" s="212" t="s">
        <v>81</v>
      </c>
      <c r="B28" s="213"/>
      <c r="C28" s="98"/>
      <c r="D28" s="130"/>
      <c r="E28" s="130"/>
      <c r="F28" s="115"/>
      <c r="G28" s="98"/>
      <c r="H28" s="98"/>
      <c r="I28" s="98"/>
      <c r="J28" s="98"/>
      <c r="K28" s="98"/>
      <c r="L28" s="98"/>
      <c r="M28" s="98"/>
      <c r="N28" s="98"/>
      <c r="O28" s="98"/>
      <c r="P28" s="100">
        <v>800000</v>
      </c>
    </row>
    <row r="29" spans="1:16" s="9" customFormat="1" x14ac:dyDescent="0.25">
      <c r="A29" s="214" t="s">
        <v>82</v>
      </c>
      <c r="B29" s="215"/>
      <c r="C29" s="44"/>
      <c r="D29" s="131"/>
      <c r="E29" s="131"/>
      <c r="F29" s="116"/>
      <c r="G29" s="44">
        <f>+G25-G26-G27</f>
        <v>-71747.928999999946</v>
      </c>
      <c r="H29" s="44">
        <f t="shared" ref="H29:O29" si="18">+H25-H26-H27</f>
        <v>34983.589098951525</v>
      </c>
      <c r="I29" s="44">
        <f t="shared" si="18"/>
        <v>46642.804459319268</v>
      </c>
      <c r="J29" s="44">
        <f t="shared" si="18"/>
        <v>59077.845812691317</v>
      </c>
      <c r="K29" s="44">
        <f t="shared" si="18"/>
        <v>72339.731695116876</v>
      </c>
      <c r="L29" s="44">
        <f t="shared" si="18"/>
        <v>86482.913688911503</v>
      </c>
      <c r="M29" s="44">
        <f t="shared" si="18"/>
        <v>88721.248422751916</v>
      </c>
      <c r="N29" s="44">
        <f t="shared" si="18"/>
        <v>91318.842860312347</v>
      </c>
      <c r="O29" s="44">
        <f t="shared" si="18"/>
        <v>94309.843565640913</v>
      </c>
      <c r="P29" s="45">
        <f>+P25-P26-P27-P28</f>
        <v>1366283.3077797713</v>
      </c>
    </row>
    <row r="30" spans="1:16" s="13" customFormat="1" x14ac:dyDescent="0.25">
      <c r="A30" s="216" t="s">
        <v>83</v>
      </c>
      <c r="B30" s="217"/>
      <c r="C30" s="46"/>
      <c r="D30" s="132"/>
      <c r="E30" s="132"/>
      <c r="F30" s="117"/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9">
        <v>0.25</v>
      </c>
      <c r="M30" s="49">
        <v>0.25</v>
      </c>
      <c r="N30" s="49">
        <v>0.25</v>
      </c>
      <c r="O30" s="49">
        <v>0.25</v>
      </c>
      <c r="P30" s="50">
        <v>0.25</v>
      </c>
    </row>
    <row r="31" spans="1:16" s="7" customFormat="1" ht="17.25" thickBot="1" x14ac:dyDescent="0.3">
      <c r="A31" s="218" t="s">
        <v>84</v>
      </c>
      <c r="B31" s="219"/>
      <c r="C31" s="47"/>
      <c r="D31" s="128"/>
      <c r="E31" s="128"/>
      <c r="F31" s="118"/>
      <c r="G31" s="47">
        <f t="shared" ref="G31:P31" si="19">+G29*G30</f>
        <v>0</v>
      </c>
      <c r="H31" s="47">
        <f t="shared" si="19"/>
        <v>0</v>
      </c>
      <c r="I31" s="47">
        <f t="shared" si="19"/>
        <v>0</v>
      </c>
      <c r="J31" s="47">
        <f t="shared" si="19"/>
        <v>0</v>
      </c>
      <c r="K31" s="47">
        <f t="shared" si="19"/>
        <v>0</v>
      </c>
      <c r="L31" s="47">
        <f t="shared" si="19"/>
        <v>21620.728422227876</v>
      </c>
      <c r="M31" s="47">
        <f t="shared" si="19"/>
        <v>22180.312105687979</v>
      </c>
      <c r="N31" s="47">
        <f t="shared" si="19"/>
        <v>22829.710715078087</v>
      </c>
      <c r="O31" s="47">
        <f t="shared" si="19"/>
        <v>23577.460891410228</v>
      </c>
      <c r="P31" s="48">
        <f t="shared" si="19"/>
        <v>341570.82694494282</v>
      </c>
    </row>
    <row r="32" spans="1:16" ht="17.25" thickTop="1" x14ac:dyDescent="0.25">
      <c r="A32" s="196" t="s">
        <v>50</v>
      </c>
      <c r="B32" s="161"/>
      <c r="C32" s="15"/>
      <c r="D32" s="123">
        <f>-C2/2-D21</f>
        <v>-90000</v>
      </c>
      <c r="E32" s="123">
        <f>-C2/2-E21</f>
        <v>-90000</v>
      </c>
      <c r="F32" s="106">
        <v>-180000</v>
      </c>
      <c r="G32" s="15">
        <f>+G24-G31</f>
        <v>-105449.16086189426</v>
      </c>
      <c r="H32" s="15">
        <f t="shared" ref="H32:P32" si="20">+H24-H31</f>
        <v>-2693.7413118943077</v>
      </c>
      <c r="I32" s="15">
        <f t="shared" si="20"/>
        <v>4671.2876156057609</v>
      </c>
      <c r="J32" s="15">
        <f t="shared" si="20"/>
        <v>12468.607621480725</v>
      </c>
      <c r="K32" s="15">
        <f t="shared" si="20"/>
        <v>20721.754448609441</v>
      </c>
      <c r="L32" s="15">
        <f t="shared" si="20"/>
        <v>7834.7698404555922</v>
      </c>
      <c r="M32" s="15">
        <f t="shared" si="20"/>
        <v>3671.3276567376561</v>
      </c>
      <c r="N32" s="15">
        <f t="shared" si="20"/>
        <v>-690.04520791811956</v>
      </c>
      <c r="O32" s="15">
        <f t="shared" si="20"/>
        <v>-5261.1288671738876</v>
      </c>
      <c r="P32" s="24">
        <f t="shared" si="20"/>
        <v>1741359.4883701114</v>
      </c>
    </row>
    <row r="33" spans="1:16" s="10" customFormat="1" x14ac:dyDescent="0.25">
      <c r="A33" s="30" t="s">
        <v>2</v>
      </c>
      <c r="B33" s="57"/>
      <c r="F33" s="119"/>
      <c r="G33" s="10">
        <f>+G20/G21</f>
        <v>0.48080573538109678</v>
      </c>
      <c r="H33" s="10">
        <f t="shared" ref="H33:P33" si="21">+H20/H21</f>
        <v>0.97489552295763593</v>
      </c>
      <c r="I33" s="10">
        <f t="shared" si="21"/>
        <v>1.043534333525808</v>
      </c>
      <c r="J33" s="10">
        <f t="shared" si="21"/>
        <v>1.1162019056549963</v>
      </c>
      <c r="K33" s="10">
        <f t="shared" si="21"/>
        <v>1.193117582054231</v>
      </c>
      <c r="L33" s="10">
        <f t="shared" si="21"/>
        <v>1.2745122097069228</v>
      </c>
      <c r="M33" s="10">
        <f t="shared" si="21"/>
        <v>1.2409258431972046</v>
      </c>
      <c r="N33" s="10">
        <f t="shared" si="21"/>
        <v>1.2063318856921939</v>
      </c>
      <c r="O33" s="10">
        <f t="shared" si="21"/>
        <v>1.1707001094620331</v>
      </c>
      <c r="P33" s="31">
        <f t="shared" si="21"/>
        <v>1.1339993799449679</v>
      </c>
    </row>
    <row r="34" spans="1:16" s="11" customFormat="1" x14ac:dyDescent="0.25">
      <c r="A34" s="32" t="s">
        <v>3</v>
      </c>
      <c r="B34" s="37"/>
      <c r="C34" s="14">
        <f>IRR(F32:P32)</f>
        <v>0.21413971507701035</v>
      </c>
      <c r="F34" s="105"/>
      <c r="P34" s="33"/>
    </row>
    <row r="35" spans="1:16" s="6" customFormat="1" ht="17.25" thickBot="1" x14ac:dyDescent="0.3">
      <c r="A35" s="23" t="s">
        <v>4</v>
      </c>
      <c r="B35" s="38"/>
      <c r="C35" s="104">
        <f>NPV(G3, G32:P32)+ F32</f>
        <v>557689.44412769121</v>
      </c>
      <c r="D35" s="15"/>
      <c r="E35" s="15"/>
      <c r="F35" s="106"/>
      <c r="G35" s="15"/>
      <c r="H35" s="15"/>
      <c r="I35" s="15"/>
      <c r="J35" s="15"/>
      <c r="K35" s="15"/>
      <c r="L35" s="15"/>
      <c r="M35" s="15"/>
      <c r="N35" s="15"/>
      <c r="O35" s="15"/>
      <c r="P35" s="24"/>
    </row>
    <row r="36" spans="1:16" x14ac:dyDescent="0.25">
      <c r="A36" s="95" t="s">
        <v>28</v>
      </c>
      <c r="B36" s="51"/>
      <c r="C36" s="51"/>
      <c r="D36" s="51"/>
      <c r="E36" s="51"/>
      <c r="F36" s="135"/>
      <c r="G36" s="51"/>
      <c r="H36" s="51"/>
      <c r="I36" s="51"/>
      <c r="J36" s="51"/>
      <c r="K36" s="51"/>
      <c r="L36" s="51"/>
      <c r="M36" s="51"/>
      <c r="N36" s="51"/>
      <c r="O36" s="51"/>
      <c r="P36" s="51"/>
    </row>
    <row r="37" spans="1:16" x14ac:dyDescent="0.25">
      <c r="A37" s="96" t="s">
        <v>29</v>
      </c>
      <c r="B37" s="15"/>
      <c r="C37" s="15"/>
      <c r="D37" s="15"/>
      <c r="E37" s="15"/>
      <c r="F37" s="106"/>
      <c r="G37" s="15"/>
      <c r="H37" s="15"/>
      <c r="I37" s="15"/>
      <c r="J37" s="15"/>
      <c r="K37" s="15"/>
      <c r="L37" s="15"/>
      <c r="M37" s="15"/>
      <c r="N37" s="15"/>
      <c r="O37" s="15"/>
      <c r="P37" s="15"/>
    </row>
  </sheetData>
  <phoneticPr fontId="2" type="noConversion"/>
  <pageMargins left="0.75" right="0.75" top="1" bottom="1" header="0.5" footer="0.5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120" zoomScaleNormal="120" workbookViewId="0">
      <pane xSplit="2" ySplit="5" topLeftCell="C6" activePane="bottomRight" state="frozen"/>
      <selection activeCell="O29" sqref="O29"/>
      <selection pane="topRight" activeCell="O29" sqref="O29"/>
      <selection pane="bottomLeft" activeCell="O29" sqref="O29"/>
      <selection pane="bottomRight" activeCell="F15" sqref="F15"/>
    </sheetView>
  </sheetViews>
  <sheetFormatPr defaultRowHeight="16.5" x14ac:dyDescent="0.25"/>
  <cols>
    <col min="1" max="1" width="10.875" style="1" customWidth="1"/>
    <col min="2" max="2" width="22.625" style="2" customWidth="1"/>
    <col min="3" max="3" width="12.125" style="2" customWidth="1"/>
    <col min="4" max="4" width="7.625" style="2" customWidth="1"/>
    <col min="5" max="5" width="8" style="2" customWidth="1"/>
    <col min="6" max="6" width="13.25" style="108" customWidth="1"/>
    <col min="7" max="7" width="7.625" style="2" customWidth="1"/>
    <col min="8" max="8" width="8.125" style="2" customWidth="1"/>
    <col min="9" max="12" width="7.625" style="2" customWidth="1"/>
    <col min="13" max="13" width="8.875" style="2" customWidth="1"/>
    <col min="14" max="16" width="7.625" style="2" customWidth="1"/>
    <col min="17" max="16384" width="9" style="2"/>
  </cols>
  <sheetData>
    <row r="1" spans="1:22" s="157" customFormat="1" x14ac:dyDescent="0.25">
      <c r="A1" s="153" t="s">
        <v>65</v>
      </c>
      <c r="B1" s="155"/>
      <c r="C1" s="155">
        <v>900000</v>
      </c>
      <c r="D1" s="155"/>
      <c r="E1" s="155"/>
      <c r="F1" s="184"/>
      <c r="G1" s="155"/>
      <c r="H1" s="155"/>
      <c r="I1" s="155"/>
      <c r="J1" s="155"/>
      <c r="K1" s="155"/>
      <c r="L1" s="155"/>
      <c r="M1" s="155"/>
      <c r="N1" s="155"/>
      <c r="O1" s="155"/>
      <c r="P1" s="156" t="s">
        <v>22</v>
      </c>
    </row>
    <row r="2" spans="1:22" s="157" customFormat="1" x14ac:dyDescent="0.25">
      <c r="A2" s="158" t="s">
        <v>17</v>
      </c>
      <c r="B2" s="174">
        <v>1</v>
      </c>
      <c r="C2" s="160">
        <f>+C1*B2</f>
        <v>900000</v>
      </c>
      <c r="D2" s="160"/>
      <c r="E2" s="160"/>
      <c r="F2" s="185"/>
      <c r="G2" s="160"/>
      <c r="H2" s="160"/>
      <c r="I2" s="160"/>
      <c r="J2" s="160"/>
      <c r="K2" s="160"/>
      <c r="L2" s="160"/>
      <c r="M2" s="160"/>
      <c r="N2" s="160"/>
      <c r="O2" s="160"/>
      <c r="P2" s="193" t="s">
        <v>69</v>
      </c>
    </row>
    <row r="3" spans="1:22" s="157" customFormat="1" x14ac:dyDescent="0.25">
      <c r="A3" s="162" t="s">
        <v>18</v>
      </c>
      <c r="B3" s="164"/>
      <c r="C3" s="164">
        <f>+C1-C2</f>
        <v>0</v>
      </c>
      <c r="D3" s="164"/>
      <c r="E3" s="164"/>
      <c r="F3" s="186" t="s">
        <v>55</v>
      </c>
      <c r="G3" s="187">
        <v>0.08</v>
      </c>
      <c r="H3" s="164" t="s">
        <v>23</v>
      </c>
      <c r="I3" s="168">
        <f>+C3*G3</f>
        <v>0</v>
      </c>
      <c r="J3" s="164"/>
      <c r="K3" s="164"/>
      <c r="L3" s="167" t="s">
        <v>67</v>
      </c>
      <c r="M3" s="164"/>
      <c r="N3" s="168">
        <f>-PMT(0.08,10,C3)</f>
        <v>0</v>
      </c>
      <c r="O3" s="164"/>
      <c r="P3" s="163"/>
    </row>
    <row r="4" spans="1:22" s="157" customFormat="1" ht="17.25" thickBot="1" x14ac:dyDescent="0.3">
      <c r="A4" s="177"/>
      <c r="B4" s="188"/>
      <c r="F4" s="189" t="s">
        <v>35</v>
      </c>
      <c r="G4" s="178"/>
      <c r="H4" s="157" t="s">
        <v>56</v>
      </c>
      <c r="L4" s="180"/>
      <c r="M4" s="181" t="s">
        <v>61</v>
      </c>
    </row>
    <row r="5" spans="1:22" s="78" customFormat="1" thickBot="1" x14ac:dyDescent="0.3">
      <c r="A5" s="77" t="s">
        <v>19</v>
      </c>
      <c r="B5" s="79"/>
      <c r="C5" s="80"/>
      <c r="D5" s="136" t="s">
        <v>0</v>
      </c>
      <c r="E5" s="136" t="s">
        <v>1</v>
      </c>
      <c r="F5" s="103">
        <v>0</v>
      </c>
      <c r="G5" s="80">
        <v>1</v>
      </c>
      <c r="H5" s="80">
        <f>+G5+1</f>
        <v>2</v>
      </c>
      <c r="I5" s="80">
        <f t="shared" ref="I5:N5" si="0">+H5+1</f>
        <v>3</v>
      </c>
      <c r="J5" s="80">
        <f t="shared" si="0"/>
        <v>4</v>
      </c>
      <c r="K5" s="80">
        <f t="shared" si="0"/>
        <v>5</v>
      </c>
      <c r="L5" s="80">
        <f t="shared" si="0"/>
        <v>6</v>
      </c>
      <c r="M5" s="80">
        <f t="shared" si="0"/>
        <v>7</v>
      </c>
      <c r="N5" s="80">
        <f t="shared" si="0"/>
        <v>8</v>
      </c>
      <c r="O5" s="80">
        <f>+N5+1</f>
        <v>9</v>
      </c>
      <c r="P5" s="82">
        <f>+O5+1</f>
        <v>10</v>
      </c>
    </row>
    <row r="6" spans="1:22" x14ac:dyDescent="0.25">
      <c r="A6" s="196" t="s">
        <v>5</v>
      </c>
      <c r="B6" s="161" t="s">
        <v>39</v>
      </c>
      <c r="C6" s="15"/>
      <c r="D6" s="137"/>
      <c r="E6" s="137"/>
      <c r="F6" s="106"/>
      <c r="G6" s="15">
        <v>51593</v>
      </c>
      <c r="H6" s="15">
        <f t="shared" ref="H6:L9" si="1">+G6*1.05</f>
        <v>54172.65</v>
      </c>
      <c r="I6" s="15">
        <f t="shared" si="1"/>
        <v>56881.282500000001</v>
      </c>
      <c r="J6" s="15">
        <f t="shared" si="1"/>
        <v>59725.346625000006</v>
      </c>
      <c r="K6" s="15">
        <f t="shared" si="1"/>
        <v>62711.61395625001</v>
      </c>
      <c r="L6" s="15">
        <f t="shared" si="1"/>
        <v>65847.194654062507</v>
      </c>
      <c r="M6" s="15">
        <f t="shared" ref="M6:P9" si="2">+L6*1</f>
        <v>65847.194654062507</v>
      </c>
      <c r="N6" s="15">
        <f t="shared" si="2"/>
        <v>65847.194654062507</v>
      </c>
      <c r="O6" s="15">
        <f t="shared" si="2"/>
        <v>65847.194654062507</v>
      </c>
      <c r="P6" s="24">
        <f t="shared" si="2"/>
        <v>65847.194654062507</v>
      </c>
      <c r="Q6" s="15"/>
      <c r="R6" s="15"/>
      <c r="S6" s="15"/>
      <c r="T6" s="15"/>
      <c r="U6" s="15"/>
      <c r="V6" s="15"/>
    </row>
    <row r="7" spans="1:22" x14ac:dyDescent="0.25">
      <c r="A7" s="196" t="s">
        <v>6</v>
      </c>
      <c r="B7" s="161" t="s">
        <v>40</v>
      </c>
      <c r="C7" s="15"/>
      <c r="D7" s="137"/>
      <c r="E7" s="137"/>
      <c r="F7" s="106"/>
      <c r="G7" s="15">
        <v>16800</v>
      </c>
      <c r="H7" s="15">
        <f t="shared" si="1"/>
        <v>17640</v>
      </c>
      <c r="I7" s="15">
        <f t="shared" si="1"/>
        <v>18522</v>
      </c>
      <c r="J7" s="15">
        <f t="shared" si="1"/>
        <v>19448.100000000002</v>
      </c>
      <c r="K7" s="15">
        <f t="shared" si="1"/>
        <v>20420.505000000005</v>
      </c>
      <c r="L7" s="15">
        <f t="shared" si="1"/>
        <v>21441.530250000007</v>
      </c>
      <c r="M7" s="15">
        <f t="shared" si="2"/>
        <v>21441.530250000007</v>
      </c>
      <c r="N7" s="15">
        <f t="shared" si="2"/>
        <v>21441.530250000007</v>
      </c>
      <c r="O7" s="15">
        <f t="shared" si="2"/>
        <v>21441.530250000007</v>
      </c>
      <c r="P7" s="24">
        <f t="shared" si="2"/>
        <v>21441.530250000007</v>
      </c>
      <c r="Q7" s="15"/>
      <c r="R7" s="15"/>
      <c r="S7" s="15"/>
      <c r="T7" s="15"/>
      <c r="U7" s="15"/>
      <c r="V7" s="15"/>
    </row>
    <row r="8" spans="1:22" x14ac:dyDescent="0.25">
      <c r="A8" s="196" t="s">
        <v>7</v>
      </c>
      <c r="B8" s="161" t="s">
        <v>88</v>
      </c>
      <c r="C8" s="15"/>
      <c r="D8" s="137"/>
      <c r="E8" s="137"/>
      <c r="F8" s="106"/>
      <c r="G8" s="15">
        <v>282009</v>
      </c>
      <c r="H8" s="15">
        <f t="shared" si="1"/>
        <v>296109.45</v>
      </c>
      <c r="I8" s="15">
        <f t="shared" si="1"/>
        <v>310914.92250000004</v>
      </c>
      <c r="J8" s="15">
        <f t="shared" si="1"/>
        <v>326460.66862500005</v>
      </c>
      <c r="K8" s="15">
        <f t="shared" si="1"/>
        <v>342783.70205625007</v>
      </c>
      <c r="L8" s="15">
        <f t="shared" si="1"/>
        <v>359922.88715906261</v>
      </c>
      <c r="M8" s="15">
        <f t="shared" si="2"/>
        <v>359922.88715906261</v>
      </c>
      <c r="N8" s="15">
        <f t="shared" si="2"/>
        <v>359922.88715906261</v>
      </c>
      <c r="O8" s="15">
        <f t="shared" si="2"/>
        <v>359922.88715906261</v>
      </c>
      <c r="P8" s="24">
        <f t="shared" si="2"/>
        <v>359922.88715906261</v>
      </c>
      <c r="Q8" s="15"/>
      <c r="R8" s="15"/>
      <c r="S8" s="15"/>
      <c r="T8" s="15"/>
      <c r="U8" s="15"/>
      <c r="V8" s="15"/>
    </row>
    <row r="9" spans="1:22" x14ac:dyDescent="0.25">
      <c r="A9" s="197" t="s">
        <v>8</v>
      </c>
      <c r="B9" s="163" t="s">
        <v>41</v>
      </c>
      <c r="C9" s="15"/>
      <c r="D9" s="137"/>
      <c r="E9" s="137"/>
      <c r="F9" s="106"/>
      <c r="G9" s="15">
        <v>43075</v>
      </c>
      <c r="H9" s="15">
        <f t="shared" si="1"/>
        <v>45228.75</v>
      </c>
      <c r="I9" s="15">
        <f t="shared" si="1"/>
        <v>47490.1875</v>
      </c>
      <c r="J9" s="15">
        <f t="shared" si="1"/>
        <v>49864.696875000001</v>
      </c>
      <c r="K9" s="15">
        <f t="shared" si="1"/>
        <v>52357.931718750006</v>
      </c>
      <c r="L9" s="15">
        <f t="shared" si="1"/>
        <v>54975.828304687508</v>
      </c>
      <c r="M9" s="15">
        <f t="shared" si="2"/>
        <v>54975.828304687508</v>
      </c>
      <c r="N9" s="15">
        <f t="shared" si="2"/>
        <v>54975.828304687508</v>
      </c>
      <c r="O9" s="15">
        <f t="shared" si="2"/>
        <v>54975.828304687508</v>
      </c>
      <c r="P9" s="24">
        <f t="shared" si="2"/>
        <v>54975.828304687508</v>
      </c>
      <c r="Q9" s="15"/>
      <c r="R9" s="15"/>
      <c r="S9" s="15"/>
      <c r="T9" s="15"/>
      <c r="U9" s="15"/>
      <c r="V9" s="15"/>
    </row>
    <row r="10" spans="1:22" s="3" customFormat="1" x14ac:dyDescent="0.25">
      <c r="A10" s="198" t="s">
        <v>72</v>
      </c>
      <c r="B10" s="199" t="s">
        <v>42</v>
      </c>
      <c r="C10" s="72"/>
      <c r="D10" s="237"/>
      <c r="E10" s="237"/>
      <c r="F10" s="109"/>
      <c r="G10" s="72">
        <f>SUM(G6:G9)</f>
        <v>393477</v>
      </c>
      <c r="H10" s="72">
        <f t="shared" ref="H10:O10" si="3">SUM(H6:H9)</f>
        <v>413150.85</v>
      </c>
      <c r="I10" s="72">
        <f t="shared" si="3"/>
        <v>433808.39250000007</v>
      </c>
      <c r="J10" s="72">
        <f t="shared" si="3"/>
        <v>455498.81212500005</v>
      </c>
      <c r="K10" s="72">
        <f t="shared" si="3"/>
        <v>478273.75273125008</v>
      </c>
      <c r="L10" s="72">
        <f t="shared" si="3"/>
        <v>502187.44036781264</v>
      </c>
      <c r="M10" s="72">
        <f t="shared" si="3"/>
        <v>502187.44036781264</v>
      </c>
      <c r="N10" s="72">
        <f t="shared" si="3"/>
        <v>502187.44036781264</v>
      </c>
      <c r="O10" s="72">
        <f t="shared" si="3"/>
        <v>502187.44036781264</v>
      </c>
      <c r="P10" s="73">
        <f>+P6+P7+P8+P9</f>
        <v>502187.44036781264</v>
      </c>
      <c r="Q10" s="17"/>
      <c r="R10" s="17"/>
      <c r="S10" s="17"/>
      <c r="T10" s="17"/>
      <c r="U10" s="17"/>
      <c r="V10" s="17"/>
    </row>
    <row r="11" spans="1:22" x14ac:dyDescent="0.25">
      <c r="A11" s="196" t="s">
        <v>9</v>
      </c>
      <c r="B11" s="161" t="s">
        <v>43</v>
      </c>
      <c r="C11" s="15"/>
      <c r="D11" s="137"/>
      <c r="E11" s="137"/>
      <c r="F11" s="106"/>
      <c r="G11" s="15">
        <v>18504</v>
      </c>
      <c r="H11" s="15">
        <f>+G11*1.03</f>
        <v>19059.12</v>
      </c>
      <c r="I11" s="15">
        <f t="shared" ref="I11:P11" si="4">+H11*1.03</f>
        <v>19630.893599999999</v>
      </c>
      <c r="J11" s="15">
        <f t="shared" si="4"/>
        <v>20219.820408</v>
      </c>
      <c r="K11" s="15">
        <f t="shared" si="4"/>
        <v>20826.415020240001</v>
      </c>
      <c r="L11" s="15">
        <f t="shared" si="4"/>
        <v>21451.207470847203</v>
      </c>
      <c r="M11" s="15">
        <f t="shared" si="4"/>
        <v>22094.743694972618</v>
      </c>
      <c r="N11" s="15">
        <f t="shared" si="4"/>
        <v>22757.586005821799</v>
      </c>
      <c r="O11" s="15">
        <f t="shared" si="4"/>
        <v>23440.313585996453</v>
      </c>
      <c r="P11" s="24">
        <f t="shared" si="4"/>
        <v>24143.522993576349</v>
      </c>
      <c r="Q11" s="15"/>
      <c r="R11" s="15"/>
      <c r="S11" s="15"/>
      <c r="T11" s="15"/>
      <c r="U11" s="15"/>
      <c r="V11" s="15"/>
    </row>
    <row r="12" spans="1:22" x14ac:dyDescent="0.25">
      <c r="A12" s="196" t="s">
        <v>10</v>
      </c>
      <c r="B12" s="161" t="s">
        <v>44</v>
      </c>
      <c r="C12" s="15"/>
      <c r="D12" s="137"/>
      <c r="E12" s="137"/>
      <c r="F12" s="106"/>
      <c r="G12" s="15">
        <f>+G6*0.1</f>
        <v>5159.3</v>
      </c>
      <c r="H12" s="15">
        <f t="shared" ref="H12:P12" si="5">+H6*0.1</f>
        <v>5417.2650000000003</v>
      </c>
      <c r="I12" s="15">
        <f t="shared" si="5"/>
        <v>5688.1282500000007</v>
      </c>
      <c r="J12" s="15">
        <f t="shared" si="5"/>
        <v>5972.5346625000011</v>
      </c>
      <c r="K12" s="15">
        <f t="shared" si="5"/>
        <v>6271.1613956250012</v>
      </c>
      <c r="L12" s="15">
        <f t="shared" si="5"/>
        <v>6584.7194654062514</v>
      </c>
      <c r="M12" s="15">
        <f t="shared" si="5"/>
        <v>6584.7194654062514</v>
      </c>
      <c r="N12" s="15">
        <f t="shared" si="5"/>
        <v>6584.7194654062514</v>
      </c>
      <c r="O12" s="15">
        <f t="shared" si="5"/>
        <v>6584.7194654062514</v>
      </c>
      <c r="P12" s="24">
        <f t="shared" si="5"/>
        <v>6584.7194654062514</v>
      </c>
      <c r="Q12" s="15"/>
      <c r="R12" s="15"/>
      <c r="S12" s="15"/>
      <c r="T12" s="15"/>
      <c r="U12" s="15"/>
      <c r="V12" s="15"/>
    </row>
    <row r="13" spans="1:22" x14ac:dyDescent="0.25">
      <c r="A13" s="196" t="s">
        <v>11</v>
      </c>
      <c r="B13" s="161" t="s">
        <v>89</v>
      </c>
      <c r="C13" s="15"/>
      <c r="D13" s="137"/>
      <c r="E13" s="137"/>
      <c r="F13" s="106"/>
      <c r="G13" s="15">
        <f>+G8*0.5</f>
        <v>141004.5</v>
      </c>
      <c r="H13" s="15">
        <f t="shared" ref="H13:O13" si="6">+H8*0.5</f>
        <v>148054.72500000001</v>
      </c>
      <c r="I13" s="15">
        <f t="shared" si="6"/>
        <v>155457.46125000002</v>
      </c>
      <c r="J13" s="15">
        <f t="shared" si="6"/>
        <v>163230.33431250002</v>
      </c>
      <c r="K13" s="15">
        <f t="shared" si="6"/>
        <v>171391.85102812503</v>
      </c>
      <c r="L13" s="15">
        <f t="shared" si="6"/>
        <v>179961.4435795313</v>
      </c>
      <c r="M13" s="15">
        <f t="shared" si="6"/>
        <v>179961.4435795313</v>
      </c>
      <c r="N13" s="15">
        <f t="shared" si="6"/>
        <v>179961.4435795313</v>
      </c>
      <c r="O13" s="15">
        <f t="shared" si="6"/>
        <v>179961.4435795313</v>
      </c>
      <c r="P13" s="24">
        <f>+P8*0.5</f>
        <v>179961.4435795313</v>
      </c>
      <c r="Q13" s="15"/>
      <c r="R13" s="15"/>
      <c r="S13" s="15"/>
      <c r="T13" s="15"/>
      <c r="U13" s="15"/>
      <c r="V13" s="15"/>
    </row>
    <row r="14" spans="1:22" x14ac:dyDescent="0.25">
      <c r="A14" s="196" t="s">
        <v>12</v>
      </c>
      <c r="B14" s="161" t="s">
        <v>45</v>
      </c>
      <c r="C14" s="15"/>
      <c r="D14" s="137"/>
      <c r="E14" s="137"/>
      <c r="F14" s="106"/>
      <c r="G14" s="15">
        <v>85120</v>
      </c>
      <c r="H14" s="15">
        <f>+G14*1.03</f>
        <v>87673.600000000006</v>
      </c>
      <c r="I14" s="15">
        <f t="shared" ref="I14:P14" si="7">+H14*1.03</f>
        <v>90303.808000000005</v>
      </c>
      <c r="J14" s="15">
        <f t="shared" si="7"/>
        <v>93012.92224</v>
      </c>
      <c r="K14" s="15">
        <f t="shared" si="7"/>
        <v>95803.309907200004</v>
      </c>
      <c r="L14" s="15">
        <f t="shared" si="7"/>
        <v>98677.409204416006</v>
      </c>
      <c r="M14" s="15">
        <f t="shared" si="7"/>
        <v>101637.73148054849</v>
      </c>
      <c r="N14" s="15">
        <f t="shared" si="7"/>
        <v>104686.86342496495</v>
      </c>
      <c r="O14" s="15">
        <f t="shared" si="7"/>
        <v>107827.4693277139</v>
      </c>
      <c r="P14" s="24">
        <f t="shared" si="7"/>
        <v>111062.29340754532</v>
      </c>
      <c r="Q14" s="15"/>
      <c r="R14" s="15"/>
      <c r="S14" s="15"/>
      <c r="T14" s="15"/>
      <c r="U14" s="15"/>
      <c r="V14" s="15"/>
    </row>
    <row r="15" spans="1:22" x14ac:dyDescent="0.25">
      <c r="A15" s="196" t="s">
        <v>13</v>
      </c>
      <c r="B15" s="161" t="s">
        <v>46</v>
      </c>
      <c r="C15" s="15"/>
      <c r="D15" s="137"/>
      <c r="E15" s="137"/>
      <c r="F15" s="106"/>
      <c r="G15" s="15">
        <f>+G10*0.035</f>
        <v>13771.695000000002</v>
      </c>
      <c r="H15" s="15">
        <f t="shared" ref="H15:P15" si="8">+H10*0.035</f>
        <v>14460.27975</v>
      </c>
      <c r="I15" s="15">
        <f t="shared" si="8"/>
        <v>15183.293737500004</v>
      </c>
      <c r="J15" s="15">
        <f t="shared" si="8"/>
        <v>15942.458424375003</v>
      </c>
      <c r="K15" s="15">
        <f t="shared" si="8"/>
        <v>16739.581345593753</v>
      </c>
      <c r="L15" s="15">
        <f t="shared" si="8"/>
        <v>17576.560412873445</v>
      </c>
      <c r="M15" s="15">
        <f t="shared" si="8"/>
        <v>17576.560412873445</v>
      </c>
      <c r="N15" s="15">
        <f t="shared" si="8"/>
        <v>17576.560412873445</v>
      </c>
      <c r="O15" s="15">
        <f t="shared" si="8"/>
        <v>17576.560412873445</v>
      </c>
      <c r="P15" s="24">
        <f t="shared" si="8"/>
        <v>17576.560412873445</v>
      </c>
      <c r="Q15" s="15"/>
      <c r="R15" s="15"/>
      <c r="S15" s="15"/>
      <c r="T15" s="15"/>
      <c r="U15" s="15"/>
      <c r="V15" s="15"/>
    </row>
    <row r="16" spans="1:22" x14ac:dyDescent="0.25">
      <c r="A16" s="196" t="s">
        <v>14</v>
      </c>
      <c r="B16" s="161" t="s">
        <v>90</v>
      </c>
      <c r="C16" s="15"/>
      <c r="D16" s="137"/>
      <c r="E16" s="137"/>
      <c r="F16" s="106"/>
      <c r="G16" s="15">
        <f>+G10*0.02</f>
        <v>7869.54</v>
      </c>
      <c r="H16" s="15">
        <f t="shared" ref="H16:P16" si="9">+H10*0.02</f>
        <v>8263.0169999999998</v>
      </c>
      <c r="I16" s="15">
        <f t="shared" si="9"/>
        <v>8676.1678500000016</v>
      </c>
      <c r="J16" s="15">
        <f t="shared" si="9"/>
        <v>9109.9762425000008</v>
      </c>
      <c r="K16" s="15">
        <f t="shared" si="9"/>
        <v>9565.4750546250016</v>
      </c>
      <c r="L16" s="15">
        <f t="shared" si="9"/>
        <v>10043.748807356253</v>
      </c>
      <c r="M16" s="15">
        <f t="shared" si="9"/>
        <v>10043.748807356253</v>
      </c>
      <c r="N16" s="15">
        <f t="shared" si="9"/>
        <v>10043.748807356253</v>
      </c>
      <c r="O16" s="15">
        <f t="shared" si="9"/>
        <v>10043.748807356253</v>
      </c>
      <c r="P16" s="24">
        <f t="shared" si="9"/>
        <v>10043.748807356253</v>
      </c>
      <c r="Q16" s="15"/>
      <c r="R16" s="15"/>
      <c r="S16" s="15"/>
      <c r="T16" s="15"/>
      <c r="U16" s="15"/>
      <c r="V16" s="15"/>
    </row>
    <row r="17" spans="1:22" x14ac:dyDescent="0.25">
      <c r="A17" s="196" t="s">
        <v>15</v>
      </c>
      <c r="B17" s="161" t="s">
        <v>47</v>
      </c>
      <c r="C17" s="15"/>
      <c r="D17" s="137"/>
      <c r="E17" s="137"/>
      <c r="F17" s="106"/>
      <c r="G17" s="15">
        <f>+G10*0.012</f>
        <v>4721.7240000000002</v>
      </c>
      <c r="H17" s="15">
        <f t="shared" ref="H17:P17" si="10">+H10*0.012</f>
        <v>4957.8101999999999</v>
      </c>
      <c r="I17" s="15">
        <f t="shared" si="10"/>
        <v>5205.700710000001</v>
      </c>
      <c r="J17" s="15">
        <f t="shared" si="10"/>
        <v>5465.985745500001</v>
      </c>
      <c r="K17" s="15">
        <f t="shared" si="10"/>
        <v>5739.2850327750011</v>
      </c>
      <c r="L17" s="15">
        <f t="shared" si="10"/>
        <v>6026.2492844137514</v>
      </c>
      <c r="M17" s="15">
        <f t="shared" si="10"/>
        <v>6026.2492844137514</v>
      </c>
      <c r="N17" s="15">
        <f t="shared" si="10"/>
        <v>6026.2492844137514</v>
      </c>
      <c r="O17" s="15">
        <f t="shared" si="10"/>
        <v>6026.2492844137514</v>
      </c>
      <c r="P17" s="24">
        <f t="shared" si="10"/>
        <v>6026.2492844137514</v>
      </c>
      <c r="Q17" s="15"/>
      <c r="R17" s="15"/>
      <c r="S17" s="15"/>
      <c r="T17" s="15"/>
      <c r="U17" s="15"/>
      <c r="V17" s="15"/>
    </row>
    <row r="18" spans="1:22" x14ac:dyDescent="0.25">
      <c r="A18" s="197" t="s">
        <v>16</v>
      </c>
      <c r="B18" s="163" t="s">
        <v>48</v>
      </c>
      <c r="C18" s="15"/>
      <c r="D18" s="137"/>
      <c r="E18" s="137"/>
      <c r="F18" s="106"/>
      <c r="G18" s="15">
        <f>+G10*0.05</f>
        <v>19673.850000000002</v>
      </c>
      <c r="H18" s="15">
        <f t="shared" ref="H18:P18" si="11">+H10*0.05</f>
        <v>20657.5425</v>
      </c>
      <c r="I18" s="15">
        <f t="shared" si="11"/>
        <v>21690.419625000006</v>
      </c>
      <c r="J18" s="15">
        <f t="shared" si="11"/>
        <v>22774.940606250006</v>
      </c>
      <c r="K18" s="15">
        <f t="shared" si="11"/>
        <v>23913.687636562507</v>
      </c>
      <c r="L18" s="15">
        <f t="shared" si="11"/>
        <v>25109.372018390633</v>
      </c>
      <c r="M18" s="15">
        <f t="shared" si="11"/>
        <v>25109.372018390633</v>
      </c>
      <c r="N18" s="15">
        <f t="shared" si="11"/>
        <v>25109.372018390633</v>
      </c>
      <c r="O18" s="15">
        <f t="shared" si="11"/>
        <v>25109.372018390633</v>
      </c>
      <c r="P18" s="24">
        <f t="shared" si="11"/>
        <v>25109.372018390633</v>
      </c>
      <c r="Q18" s="15"/>
      <c r="R18" s="15"/>
      <c r="S18" s="15"/>
      <c r="T18" s="15"/>
      <c r="U18" s="15"/>
      <c r="V18" s="15"/>
    </row>
    <row r="19" spans="1:22" s="4" customFormat="1" x14ac:dyDescent="0.25">
      <c r="A19" s="200" t="s">
        <v>73</v>
      </c>
      <c r="B19" s="201" t="s">
        <v>91</v>
      </c>
      <c r="C19" s="74"/>
      <c r="D19" s="238"/>
      <c r="E19" s="238"/>
      <c r="F19" s="110"/>
      <c r="G19" s="74">
        <f>SUM(G11:G18)</f>
        <v>295824.60899999994</v>
      </c>
      <c r="H19" s="74">
        <f t="shared" ref="H19:P19" si="12">SUM(H11:H18)</f>
        <v>308543.35944999999</v>
      </c>
      <c r="I19" s="74">
        <f t="shared" si="12"/>
        <v>321835.87302250002</v>
      </c>
      <c r="J19" s="74">
        <f t="shared" si="12"/>
        <v>335728.97264162503</v>
      </c>
      <c r="K19" s="74">
        <f t="shared" si="12"/>
        <v>350250.76642074634</v>
      </c>
      <c r="L19" s="74">
        <f t="shared" si="12"/>
        <v>365430.71024323488</v>
      </c>
      <c r="M19" s="74">
        <f t="shared" si="12"/>
        <v>369034.56874349271</v>
      </c>
      <c r="N19" s="74">
        <f t="shared" si="12"/>
        <v>372746.54299875838</v>
      </c>
      <c r="O19" s="74">
        <f t="shared" si="12"/>
        <v>376569.876481682</v>
      </c>
      <c r="P19" s="75">
        <f t="shared" si="12"/>
        <v>380507.90996909328</v>
      </c>
      <c r="Q19" s="18"/>
      <c r="R19" s="18"/>
      <c r="S19" s="18"/>
      <c r="T19" s="18"/>
      <c r="U19" s="18"/>
      <c r="V19" s="18"/>
    </row>
    <row r="20" spans="1:22" s="5" customFormat="1" ht="17.25" customHeight="1" x14ac:dyDescent="0.25">
      <c r="A20" s="202" t="s">
        <v>74</v>
      </c>
      <c r="B20" s="203" t="s">
        <v>92</v>
      </c>
      <c r="C20" s="19"/>
      <c r="D20" s="141"/>
      <c r="E20" s="141"/>
      <c r="F20" s="111"/>
      <c r="G20" s="19">
        <f>+G10-G19</f>
        <v>97652.391000000061</v>
      </c>
      <c r="H20" s="19">
        <f t="shared" ref="H20:P20" si="13">+H10-H19</f>
        <v>104607.49054999999</v>
      </c>
      <c r="I20" s="19">
        <f t="shared" si="13"/>
        <v>111972.51947750006</v>
      </c>
      <c r="J20" s="19">
        <f t="shared" si="13"/>
        <v>119769.83948337502</v>
      </c>
      <c r="K20" s="19">
        <f t="shared" si="13"/>
        <v>128022.98631050374</v>
      </c>
      <c r="L20" s="19">
        <f t="shared" si="13"/>
        <v>136756.73012457776</v>
      </c>
      <c r="M20" s="19">
        <f t="shared" si="13"/>
        <v>133152.87162431993</v>
      </c>
      <c r="N20" s="19">
        <f t="shared" si="13"/>
        <v>129440.89736905426</v>
      </c>
      <c r="O20" s="19">
        <f t="shared" si="13"/>
        <v>125617.56388613064</v>
      </c>
      <c r="P20" s="27">
        <f t="shared" si="13"/>
        <v>121679.53039871936</v>
      </c>
      <c r="Q20" s="19"/>
      <c r="R20" s="19"/>
      <c r="S20" s="19"/>
      <c r="T20" s="19"/>
      <c r="U20" s="19"/>
      <c r="V20" s="19"/>
    </row>
    <row r="21" spans="1:22" x14ac:dyDescent="0.25">
      <c r="A21" s="204" t="s">
        <v>75</v>
      </c>
      <c r="B21" s="161" t="s">
        <v>93</v>
      </c>
      <c r="C21" s="15"/>
      <c r="D21" s="137"/>
      <c r="E21" s="137"/>
      <c r="F21" s="106"/>
      <c r="G21" s="15">
        <f>+N3</f>
        <v>0</v>
      </c>
      <c r="H21" s="15">
        <f t="shared" ref="H21:P21" si="14">+G21*1</f>
        <v>0</v>
      </c>
      <c r="I21" s="15">
        <f t="shared" si="14"/>
        <v>0</v>
      </c>
      <c r="J21" s="15">
        <f t="shared" si="14"/>
        <v>0</v>
      </c>
      <c r="K21" s="15">
        <f t="shared" si="14"/>
        <v>0</v>
      </c>
      <c r="L21" s="15">
        <f t="shared" si="14"/>
        <v>0</v>
      </c>
      <c r="M21" s="15">
        <f t="shared" si="14"/>
        <v>0</v>
      </c>
      <c r="N21" s="15">
        <f t="shared" si="14"/>
        <v>0</v>
      </c>
      <c r="O21" s="15">
        <f t="shared" si="14"/>
        <v>0</v>
      </c>
      <c r="P21" s="24">
        <f t="shared" si="14"/>
        <v>0</v>
      </c>
      <c r="Q21" s="15"/>
      <c r="R21" s="15"/>
      <c r="S21" s="15"/>
      <c r="T21" s="15"/>
      <c r="U21" s="15"/>
      <c r="V21" s="15"/>
    </row>
    <row r="22" spans="1:22" x14ac:dyDescent="0.25">
      <c r="A22" s="204" t="s">
        <v>76</v>
      </c>
      <c r="B22" s="161"/>
      <c r="C22" s="15"/>
      <c r="D22" s="137"/>
      <c r="E22" s="137"/>
      <c r="F22" s="106"/>
      <c r="G22" s="15"/>
      <c r="H22" s="15"/>
      <c r="I22" s="15"/>
      <c r="J22" s="15"/>
      <c r="K22" s="15"/>
      <c r="L22" s="15"/>
      <c r="M22" s="15"/>
      <c r="N22" s="15"/>
      <c r="O22" s="15"/>
      <c r="P22" s="24">
        <f>+P20*(1+0.02)/(G3-0.02)</f>
        <v>2068552.0167782293</v>
      </c>
      <c r="Q22" s="15"/>
      <c r="R22" s="15"/>
      <c r="S22" s="15"/>
      <c r="T22" s="15"/>
      <c r="U22" s="15"/>
      <c r="V22" s="15"/>
    </row>
    <row r="23" spans="1:22" s="6" customFormat="1" x14ac:dyDescent="0.25">
      <c r="A23" s="205" t="s">
        <v>77</v>
      </c>
      <c r="B23" s="163"/>
      <c r="D23" s="138"/>
      <c r="E23" s="138"/>
      <c r="F23" s="107"/>
      <c r="P23" s="28">
        <v>0</v>
      </c>
      <c r="Q23" s="15"/>
      <c r="R23" s="15"/>
      <c r="S23" s="15"/>
      <c r="T23" s="15"/>
      <c r="U23" s="15"/>
      <c r="V23" s="15"/>
    </row>
    <row r="24" spans="1:22" s="7" customFormat="1" ht="17.25" thickBot="1" x14ac:dyDescent="0.3">
      <c r="A24" s="206" t="s">
        <v>49</v>
      </c>
      <c r="B24" s="207"/>
      <c r="D24" s="142"/>
      <c r="E24" s="142"/>
      <c r="F24" s="112"/>
      <c r="G24" s="7">
        <f>+G20-G21+G22-G23</f>
        <v>97652.391000000061</v>
      </c>
      <c r="H24" s="7">
        <f t="shared" ref="H24:P24" si="15">+H20-H21+H22-H23</f>
        <v>104607.49054999999</v>
      </c>
      <c r="I24" s="7">
        <f t="shared" si="15"/>
        <v>111972.51947750006</v>
      </c>
      <c r="J24" s="7">
        <f t="shared" si="15"/>
        <v>119769.83948337502</v>
      </c>
      <c r="K24" s="7">
        <f t="shared" si="15"/>
        <v>128022.98631050374</v>
      </c>
      <c r="L24" s="7">
        <f t="shared" si="15"/>
        <v>136756.73012457776</v>
      </c>
      <c r="M24" s="7">
        <f t="shared" si="15"/>
        <v>133152.87162431993</v>
      </c>
      <c r="N24" s="7">
        <f t="shared" si="15"/>
        <v>129440.89736905426</v>
      </c>
      <c r="O24" s="7">
        <f t="shared" si="15"/>
        <v>125617.56388613064</v>
      </c>
      <c r="P24" s="29">
        <f t="shared" si="15"/>
        <v>2190231.5471769487</v>
      </c>
      <c r="Q24" s="16"/>
      <c r="R24" s="16"/>
      <c r="S24" s="16"/>
      <c r="T24" s="16"/>
      <c r="U24" s="16"/>
      <c r="V24" s="16"/>
    </row>
    <row r="25" spans="1:22" s="8" customFormat="1" ht="17.25" thickTop="1" x14ac:dyDescent="0.25">
      <c r="A25" s="208" t="s">
        <v>78</v>
      </c>
      <c r="B25" s="209"/>
      <c r="C25" s="40"/>
      <c r="D25" s="143"/>
      <c r="E25" s="143"/>
      <c r="F25" s="113"/>
      <c r="G25" s="40">
        <f>+G20</f>
        <v>97652.391000000061</v>
      </c>
      <c r="H25" s="40">
        <f t="shared" ref="H25:O25" si="16">+H20</f>
        <v>104607.49054999999</v>
      </c>
      <c r="I25" s="40">
        <f t="shared" si="16"/>
        <v>111972.51947750006</v>
      </c>
      <c r="J25" s="40">
        <f t="shared" si="16"/>
        <v>119769.83948337502</v>
      </c>
      <c r="K25" s="40">
        <f t="shared" si="16"/>
        <v>128022.98631050374</v>
      </c>
      <c r="L25" s="40">
        <f t="shared" si="16"/>
        <v>136756.73012457776</v>
      </c>
      <c r="M25" s="40">
        <f t="shared" si="16"/>
        <v>133152.87162431993</v>
      </c>
      <c r="N25" s="40">
        <f t="shared" si="16"/>
        <v>129440.89736905426</v>
      </c>
      <c r="O25" s="40">
        <f t="shared" si="16"/>
        <v>125617.56388613064</v>
      </c>
      <c r="P25" s="41">
        <f>+P20+P22</f>
        <v>2190231.5471769487</v>
      </c>
      <c r="Q25" s="18"/>
      <c r="R25" s="18"/>
      <c r="S25" s="18"/>
      <c r="T25" s="18"/>
      <c r="U25" s="18"/>
      <c r="V25" s="18"/>
    </row>
    <row r="26" spans="1:22" x14ac:dyDescent="0.25">
      <c r="A26" s="210" t="s">
        <v>79</v>
      </c>
      <c r="B26" s="211"/>
      <c r="C26" s="42"/>
      <c r="D26" s="137"/>
      <c r="E26" s="137"/>
      <c r="F26" s="114"/>
      <c r="G26" s="42">
        <f>-IPMT(0.08,1,10,C3,0)</f>
        <v>0</v>
      </c>
      <c r="H26" s="42">
        <f>-IPMT(0.08,2,10,C3,0)</f>
        <v>0</v>
      </c>
      <c r="I26" s="42">
        <f>-IPMT(0.08,3,10,C3,0)</f>
        <v>0</v>
      </c>
      <c r="J26" s="42">
        <f>-IPMT(0.08,4,10,C3,0)</f>
        <v>0</v>
      </c>
      <c r="K26" s="42">
        <f>-IPMT(0.08,5,10,C3,0)</f>
        <v>0</v>
      </c>
      <c r="L26" s="42">
        <f>-IPMT(0.08,6,10,C3,0)</f>
        <v>0</v>
      </c>
      <c r="M26" s="42">
        <f>-IPMT(0.08,7,10,C3,0)</f>
        <v>0</v>
      </c>
      <c r="N26" s="42">
        <f>-IPMT(0.08,8,10,C3,0)</f>
        <v>0</v>
      </c>
      <c r="O26" s="42">
        <f>-IPMT(0.08,9,10,C3,0)</f>
        <v>0</v>
      </c>
      <c r="P26" s="43">
        <f>-IPMT(0.08,10,10,C3,0)</f>
        <v>0</v>
      </c>
      <c r="Q26" s="15"/>
      <c r="R26" s="15"/>
      <c r="S26" s="15"/>
      <c r="T26" s="15"/>
      <c r="U26" s="15"/>
      <c r="V26" s="15"/>
    </row>
    <row r="27" spans="1:22" s="6" customFormat="1" x14ac:dyDescent="0.25">
      <c r="A27" s="210" t="s">
        <v>80</v>
      </c>
      <c r="B27" s="211"/>
      <c r="C27" s="42"/>
      <c r="D27" s="137"/>
      <c r="E27" s="137"/>
      <c r="F27" s="114"/>
      <c r="G27" s="42">
        <f>800000/50</f>
        <v>16000</v>
      </c>
      <c r="H27" s="42">
        <f>+G27*1</f>
        <v>16000</v>
      </c>
      <c r="I27" s="42">
        <f t="shared" ref="I27:O27" si="17">+H27*1</f>
        <v>16000</v>
      </c>
      <c r="J27" s="42">
        <f t="shared" si="17"/>
        <v>16000</v>
      </c>
      <c r="K27" s="42">
        <f t="shared" si="17"/>
        <v>16000</v>
      </c>
      <c r="L27" s="42">
        <f t="shared" si="17"/>
        <v>16000</v>
      </c>
      <c r="M27" s="42">
        <f t="shared" si="17"/>
        <v>16000</v>
      </c>
      <c r="N27" s="42">
        <f t="shared" si="17"/>
        <v>16000</v>
      </c>
      <c r="O27" s="42">
        <f t="shared" si="17"/>
        <v>16000</v>
      </c>
      <c r="P27" s="43">
        <v>16000</v>
      </c>
      <c r="Q27" s="15"/>
      <c r="R27" s="15"/>
      <c r="S27" s="15"/>
      <c r="T27" s="15"/>
      <c r="U27" s="15"/>
      <c r="V27" s="15"/>
    </row>
    <row r="28" spans="1:22" s="15" customFormat="1" ht="17.25" thickBot="1" x14ac:dyDescent="0.3">
      <c r="A28" s="212" t="s">
        <v>81</v>
      </c>
      <c r="B28" s="213"/>
      <c r="C28" s="98"/>
      <c r="D28" s="144"/>
      <c r="E28" s="144"/>
      <c r="F28" s="115"/>
      <c r="G28" s="98"/>
      <c r="H28" s="98"/>
      <c r="I28" s="98"/>
      <c r="J28" s="98"/>
      <c r="K28" s="98"/>
      <c r="L28" s="98"/>
      <c r="M28" s="98"/>
      <c r="N28" s="98"/>
      <c r="O28" s="98"/>
      <c r="P28" s="100">
        <v>800000</v>
      </c>
    </row>
    <row r="29" spans="1:22" s="9" customFormat="1" x14ac:dyDescent="0.25">
      <c r="A29" s="214" t="s">
        <v>82</v>
      </c>
      <c r="B29" s="215"/>
      <c r="C29" s="44"/>
      <c r="D29" s="145"/>
      <c r="E29" s="145"/>
      <c r="F29" s="116"/>
      <c r="G29" s="44">
        <f>+G25-G26-G27</f>
        <v>81652.391000000061</v>
      </c>
      <c r="H29" s="44">
        <f t="shared" ref="H29:O29" si="18">+H25-H26-H27</f>
        <v>88607.490549999988</v>
      </c>
      <c r="I29" s="44">
        <f t="shared" si="18"/>
        <v>95972.519477500056</v>
      </c>
      <c r="J29" s="44">
        <f t="shared" si="18"/>
        <v>103769.83948337502</v>
      </c>
      <c r="K29" s="44">
        <f t="shared" si="18"/>
        <v>112022.98631050374</v>
      </c>
      <c r="L29" s="44">
        <f t="shared" si="18"/>
        <v>120756.73012457776</v>
      </c>
      <c r="M29" s="44">
        <f t="shared" si="18"/>
        <v>117152.87162431993</v>
      </c>
      <c r="N29" s="44">
        <f t="shared" si="18"/>
        <v>113440.89736905426</v>
      </c>
      <c r="O29" s="44">
        <f t="shared" si="18"/>
        <v>109617.56388613064</v>
      </c>
      <c r="P29" s="45">
        <f>+P25-P26-P27-P28</f>
        <v>1374231.5471769487</v>
      </c>
      <c r="Q29" s="17"/>
      <c r="R29" s="17"/>
      <c r="S29" s="17"/>
      <c r="T29" s="17"/>
      <c r="U29" s="17"/>
      <c r="V29" s="17"/>
    </row>
    <row r="30" spans="1:22" s="13" customFormat="1" x14ac:dyDescent="0.25">
      <c r="A30" s="216" t="s">
        <v>83</v>
      </c>
      <c r="B30" s="217"/>
      <c r="C30" s="46"/>
      <c r="D30" s="146"/>
      <c r="E30" s="146"/>
      <c r="F30" s="117"/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9">
        <v>0.25</v>
      </c>
      <c r="M30" s="49">
        <v>0.25</v>
      </c>
      <c r="N30" s="49">
        <v>0.25</v>
      </c>
      <c r="O30" s="49">
        <v>0.25</v>
      </c>
      <c r="P30" s="50">
        <v>0.25</v>
      </c>
      <c r="Q30" s="21"/>
      <c r="R30" s="21"/>
      <c r="S30" s="21"/>
      <c r="T30" s="21"/>
      <c r="U30" s="21"/>
      <c r="V30" s="21"/>
    </row>
    <row r="31" spans="1:22" s="7" customFormat="1" ht="17.25" thickBot="1" x14ac:dyDescent="0.3">
      <c r="A31" s="218" t="s">
        <v>84</v>
      </c>
      <c r="B31" s="219"/>
      <c r="C31" s="47"/>
      <c r="D31" s="142"/>
      <c r="E31" s="142"/>
      <c r="F31" s="118"/>
      <c r="G31" s="47">
        <f t="shared" ref="G31:P31" si="19">+G29*G30</f>
        <v>0</v>
      </c>
      <c r="H31" s="47">
        <f t="shared" si="19"/>
        <v>0</v>
      </c>
      <c r="I31" s="47">
        <f t="shared" si="19"/>
        <v>0</v>
      </c>
      <c r="J31" s="47">
        <f t="shared" si="19"/>
        <v>0</v>
      </c>
      <c r="K31" s="47">
        <f t="shared" si="19"/>
        <v>0</v>
      </c>
      <c r="L31" s="47">
        <f t="shared" si="19"/>
        <v>30189.182531144441</v>
      </c>
      <c r="M31" s="47">
        <f t="shared" si="19"/>
        <v>29288.217906079983</v>
      </c>
      <c r="N31" s="47">
        <f t="shared" si="19"/>
        <v>28360.224342263566</v>
      </c>
      <c r="O31" s="47">
        <f t="shared" si="19"/>
        <v>27404.390971532659</v>
      </c>
      <c r="P31" s="48">
        <f t="shared" si="19"/>
        <v>343557.88679423719</v>
      </c>
      <c r="Q31" s="16"/>
      <c r="R31" s="16"/>
      <c r="S31" s="16"/>
      <c r="T31" s="16"/>
      <c r="U31" s="16"/>
      <c r="V31" s="16"/>
    </row>
    <row r="32" spans="1:22" ht="17.25" thickTop="1" x14ac:dyDescent="0.25">
      <c r="A32" s="196" t="s">
        <v>50</v>
      </c>
      <c r="B32" s="161"/>
      <c r="C32" s="15"/>
      <c r="D32" s="137">
        <f>-C2/2-D21</f>
        <v>-450000</v>
      </c>
      <c r="E32" s="137">
        <f>-C2/2-E21</f>
        <v>-450000</v>
      </c>
      <c r="F32" s="106">
        <v>-900000</v>
      </c>
      <c r="G32" s="15">
        <f>+G24-G31</f>
        <v>97652.391000000061</v>
      </c>
      <c r="H32" s="15">
        <f t="shared" ref="H32:P32" si="20">+H24-H31</f>
        <v>104607.49054999999</v>
      </c>
      <c r="I32" s="15">
        <f t="shared" si="20"/>
        <v>111972.51947750006</v>
      </c>
      <c r="J32" s="15">
        <f t="shared" si="20"/>
        <v>119769.83948337502</v>
      </c>
      <c r="K32" s="15">
        <f t="shared" si="20"/>
        <v>128022.98631050374</v>
      </c>
      <c r="L32" s="15">
        <f t="shared" si="20"/>
        <v>106567.54759343332</v>
      </c>
      <c r="M32" s="15">
        <f t="shared" si="20"/>
        <v>103864.65371823995</v>
      </c>
      <c r="N32" s="15">
        <f t="shared" si="20"/>
        <v>101080.6730267907</v>
      </c>
      <c r="O32" s="15">
        <f t="shared" si="20"/>
        <v>98213.172914597977</v>
      </c>
      <c r="P32" s="24">
        <f t="shared" si="20"/>
        <v>1846673.6603827116</v>
      </c>
      <c r="Q32" s="15"/>
      <c r="R32" s="15"/>
      <c r="S32" s="15"/>
      <c r="T32" s="15"/>
      <c r="U32" s="15"/>
      <c r="V32" s="15"/>
    </row>
    <row r="33" spans="1:22" s="10" customFormat="1" x14ac:dyDescent="0.25">
      <c r="A33" s="30" t="s">
        <v>2</v>
      </c>
      <c r="B33" s="57"/>
      <c r="F33" s="119"/>
      <c r="P33" s="31"/>
      <c r="Q33" s="22"/>
      <c r="R33" s="22"/>
      <c r="S33" s="22"/>
      <c r="T33" s="22"/>
      <c r="U33" s="22"/>
      <c r="V33" s="22"/>
    </row>
    <row r="34" spans="1:22" s="11" customFormat="1" x14ac:dyDescent="0.25">
      <c r="A34" s="32" t="s">
        <v>3</v>
      </c>
      <c r="B34" s="37"/>
      <c r="C34" s="14">
        <f>IRR(F32:P32)</f>
        <v>0.16312587312164806</v>
      </c>
      <c r="F34" s="105"/>
      <c r="P34" s="33"/>
      <c r="Q34" s="15"/>
      <c r="R34" s="15"/>
      <c r="S34" s="15"/>
      <c r="T34" s="15"/>
      <c r="U34" s="15"/>
      <c r="V34" s="15"/>
    </row>
    <row r="35" spans="1:22" s="6" customFormat="1" ht="17.25" thickBot="1" x14ac:dyDescent="0.3">
      <c r="A35" s="34" t="s">
        <v>4</v>
      </c>
      <c r="B35" s="76"/>
      <c r="C35" s="121">
        <f>NPV(G3, G32:P32)+F32</f>
        <v>631023.69440337759</v>
      </c>
      <c r="D35" s="35"/>
      <c r="E35" s="35"/>
      <c r="F35" s="120"/>
      <c r="G35" s="35"/>
      <c r="H35" s="35"/>
      <c r="I35" s="35"/>
      <c r="J35" s="35"/>
      <c r="K35" s="35"/>
      <c r="L35" s="35"/>
      <c r="M35" s="35"/>
      <c r="N35" s="35"/>
      <c r="O35" s="35"/>
      <c r="P35" s="36"/>
      <c r="Q35" s="15"/>
      <c r="R35" s="15"/>
      <c r="S35" s="15"/>
      <c r="T35" s="15"/>
      <c r="U35" s="15"/>
      <c r="V35" s="15"/>
    </row>
    <row r="36" spans="1:22" x14ac:dyDescent="0.25">
      <c r="A36" s="52"/>
      <c r="Q36" s="15"/>
      <c r="R36" s="15"/>
      <c r="S36" s="15"/>
      <c r="T36" s="15"/>
      <c r="U36" s="15"/>
      <c r="V36" s="15"/>
    </row>
  </sheetData>
  <phoneticPr fontId="2" type="noConversion"/>
  <pageMargins left="0.75" right="0.75" top="1" bottom="1" header="0.5" footer="0.5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="130" zoomScaleNormal="130" workbookViewId="0">
      <pane xSplit="3" ySplit="5" topLeftCell="D6" activePane="bottomRight" state="frozen"/>
      <selection activeCell="O29" sqref="O29"/>
      <selection pane="topRight" activeCell="O29" sqref="O29"/>
      <selection pane="bottomLeft" activeCell="O29" sqref="O29"/>
      <selection pane="bottomRight" activeCell="F37" sqref="F37"/>
    </sheetView>
  </sheetViews>
  <sheetFormatPr defaultRowHeight="14.25" x14ac:dyDescent="0.25"/>
  <cols>
    <col min="1" max="1" width="10.375" style="1" customWidth="1"/>
    <col min="2" max="2" width="6.625" style="2" customWidth="1"/>
    <col min="3" max="3" width="27.75" style="2" customWidth="1"/>
    <col min="4" max="4" width="13.375" style="2" customWidth="1"/>
    <col min="5" max="6" width="9" style="2" customWidth="1"/>
    <col min="7" max="7" width="7.625" style="2" customWidth="1"/>
    <col min="8" max="8" width="8.125" style="2" customWidth="1"/>
    <col min="9" max="10" width="7.625" style="2" customWidth="1"/>
    <col min="11" max="11" width="9.25" style="2" customWidth="1"/>
    <col min="12" max="16" width="7.625" style="2" customWidth="1"/>
    <col min="17" max="16384" width="9" style="2"/>
  </cols>
  <sheetData>
    <row r="1" spans="1:16" s="157" customFormat="1" x14ac:dyDescent="0.25">
      <c r="A1" s="153" t="s">
        <v>65</v>
      </c>
      <c r="B1" s="155"/>
      <c r="C1" s="155">
        <v>900000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6" t="s">
        <v>22</v>
      </c>
    </row>
    <row r="2" spans="1:16" s="157" customFormat="1" x14ac:dyDescent="0.25">
      <c r="A2" s="158" t="s">
        <v>17</v>
      </c>
      <c r="B2" s="190">
        <v>1</v>
      </c>
      <c r="C2" s="160">
        <f>+C1*B2</f>
        <v>900000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93" t="s">
        <v>69</v>
      </c>
    </row>
    <row r="3" spans="1:16" s="157" customFormat="1" x14ac:dyDescent="0.25">
      <c r="A3" s="162" t="s">
        <v>18</v>
      </c>
      <c r="B3" s="164"/>
      <c r="C3" s="164">
        <f>+C1-C2</f>
        <v>0</v>
      </c>
      <c r="D3" s="164"/>
      <c r="E3" s="168"/>
      <c r="F3" s="168" t="s">
        <v>30</v>
      </c>
      <c r="G3" s="187">
        <v>0.08</v>
      </c>
      <c r="H3" s="164" t="s">
        <v>23</v>
      </c>
      <c r="I3" s="168">
        <f>+C3*G3</f>
        <v>0</v>
      </c>
      <c r="J3" s="167" t="s">
        <v>68</v>
      </c>
      <c r="K3" s="164"/>
      <c r="L3" s="168">
        <f>-PMT(0.08,10,C3)</f>
        <v>0</v>
      </c>
      <c r="M3" s="164"/>
      <c r="N3" s="164"/>
      <c r="O3" s="164"/>
      <c r="P3" s="163"/>
    </row>
    <row r="4" spans="1:16" s="157" customFormat="1" ht="15" thickBot="1" x14ac:dyDescent="0.3">
      <c r="A4" s="177"/>
      <c r="E4" s="181"/>
      <c r="F4" s="181" t="s">
        <v>35</v>
      </c>
      <c r="G4" s="191"/>
      <c r="H4" s="179" t="s">
        <v>62</v>
      </c>
      <c r="I4" s="192"/>
      <c r="J4" s="180"/>
      <c r="K4" s="179" t="s">
        <v>63</v>
      </c>
    </row>
    <row r="5" spans="1:16" s="230" customFormat="1" ht="15" thickBot="1" x14ac:dyDescent="0.3">
      <c r="A5" s="225" t="s">
        <v>19</v>
      </c>
      <c r="B5" s="226"/>
      <c r="C5" s="227"/>
      <c r="D5" s="228" t="s">
        <v>0</v>
      </c>
      <c r="E5" s="228" t="s">
        <v>1</v>
      </c>
      <c r="F5" s="228">
        <v>0</v>
      </c>
      <c r="G5" s="226">
        <v>1</v>
      </c>
      <c r="H5" s="226">
        <f>+G5+1</f>
        <v>2</v>
      </c>
      <c r="I5" s="226">
        <f t="shared" ref="I5:O5" si="0">+H5+1</f>
        <v>3</v>
      </c>
      <c r="J5" s="226">
        <f t="shared" si="0"/>
        <v>4</v>
      </c>
      <c r="K5" s="226">
        <f t="shared" si="0"/>
        <v>5</v>
      </c>
      <c r="L5" s="226">
        <f t="shared" si="0"/>
        <v>6</v>
      </c>
      <c r="M5" s="226">
        <f t="shared" si="0"/>
        <v>7</v>
      </c>
      <c r="N5" s="226">
        <f t="shared" si="0"/>
        <v>8</v>
      </c>
      <c r="O5" s="226">
        <f t="shared" si="0"/>
        <v>9</v>
      </c>
      <c r="P5" s="229">
        <f>+O5+1</f>
        <v>10</v>
      </c>
    </row>
    <row r="6" spans="1:16" ht="16.5" x14ac:dyDescent="0.25">
      <c r="A6" s="196" t="s">
        <v>5</v>
      </c>
      <c r="B6" s="161" t="s">
        <v>39</v>
      </c>
      <c r="C6" s="223"/>
      <c r="D6" s="231" t="s">
        <v>95</v>
      </c>
      <c r="E6" s="234">
        <v>51593</v>
      </c>
      <c r="F6" s="15"/>
      <c r="G6" s="15">
        <f>E6/55*D8</f>
        <v>40451.579328588959</v>
      </c>
      <c r="H6" s="15">
        <f>+G6*1.05</f>
        <v>42474.158295018409</v>
      </c>
      <c r="I6" s="15">
        <f t="shared" ref="I6:L9" si="1">+H6*1.05</f>
        <v>44597.86620976933</v>
      </c>
      <c r="J6" s="15">
        <f t="shared" si="1"/>
        <v>46827.759520257801</v>
      </c>
      <c r="K6" s="15">
        <f t="shared" si="1"/>
        <v>49169.147496270692</v>
      </c>
      <c r="L6" s="15">
        <f t="shared" si="1"/>
        <v>51627.60487108423</v>
      </c>
      <c r="M6" s="15">
        <f t="shared" ref="M6:P9" si="2">+L6*1</f>
        <v>51627.60487108423</v>
      </c>
      <c r="N6" s="15">
        <f t="shared" si="2"/>
        <v>51627.60487108423</v>
      </c>
      <c r="O6" s="15">
        <f t="shared" si="2"/>
        <v>51627.60487108423</v>
      </c>
      <c r="P6" s="24">
        <f t="shared" si="2"/>
        <v>51627.60487108423</v>
      </c>
    </row>
    <row r="7" spans="1:16" x14ac:dyDescent="0.25">
      <c r="A7" s="196" t="s">
        <v>6</v>
      </c>
      <c r="B7" s="161" t="s">
        <v>40</v>
      </c>
      <c r="C7" s="223"/>
      <c r="D7" s="232" t="s">
        <v>96</v>
      </c>
      <c r="E7" s="234">
        <v>16800</v>
      </c>
      <c r="F7" s="15"/>
      <c r="G7" s="15">
        <f>E7/55*D8</f>
        <v>13172.068550390451</v>
      </c>
      <c r="H7" s="15">
        <f>+G7*1.05</f>
        <v>13830.671977909975</v>
      </c>
      <c r="I7" s="15">
        <f t="shared" si="1"/>
        <v>14522.205576805474</v>
      </c>
      <c r="J7" s="15">
        <f t="shared" si="1"/>
        <v>15248.315855645749</v>
      </c>
      <c r="K7" s="15">
        <f t="shared" si="1"/>
        <v>16010.731648428038</v>
      </c>
      <c r="L7" s="15">
        <f t="shared" si="1"/>
        <v>16811.26823084944</v>
      </c>
      <c r="M7" s="15">
        <f t="shared" si="2"/>
        <v>16811.26823084944</v>
      </c>
      <c r="N7" s="15">
        <f t="shared" si="2"/>
        <v>16811.26823084944</v>
      </c>
      <c r="O7" s="15">
        <f t="shared" si="2"/>
        <v>16811.26823084944</v>
      </c>
      <c r="P7" s="24">
        <f t="shared" si="2"/>
        <v>16811.26823084944</v>
      </c>
    </row>
    <row r="8" spans="1:16" ht="16.5" x14ac:dyDescent="0.25">
      <c r="A8" s="196" t="s">
        <v>7</v>
      </c>
      <c r="B8" s="161" t="s">
        <v>88</v>
      </c>
      <c r="C8" s="223"/>
      <c r="D8" s="233">
        <v>43.122843468540168</v>
      </c>
      <c r="E8" s="234">
        <v>282009</v>
      </c>
      <c r="F8" s="15"/>
      <c r="G8" s="15">
        <f>E8/55*D8</f>
        <v>221109.63570399169</v>
      </c>
      <c r="H8" s="15">
        <f>+G8*1.05</f>
        <v>232165.1174891913</v>
      </c>
      <c r="I8" s="15">
        <f t="shared" si="1"/>
        <v>243773.37336365087</v>
      </c>
      <c r="J8" s="15">
        <f t="shared" si="1"/>
        <v>255962.04203183344</v>
      </c>
      <c r="K8" s="15">
        <f t="shared" si="1"/>
        <v>268760.14413342514</v>
      </c>
      <c r="L8" s="15">
        <f t="shared" si="1"/>
        <v>282198.15134009643</v>
      </c>
      <c r="M8" s="15">
        <f t="shared" si="2"/>
        <v>282198.15134009643</v>
      </c>
      <c r="N8" s="15">
        <f t="shared" si="2"/>
        <v>282198.15134009643</v>
      </c>
      <c r="O8" s="15">
        <f t="shared" si="2"/>
        <v>282198.15134009643</v>
      </c>
      <c r="P8" s="24">
        <f t="shared" si="2"/>
        <v>282198.15134009643</v>
      </c>
    </row>
    <row r="9" spans="1:16" x14ac:dyDescent="0.25">
      <c r="A9" s="197" t="s">
        <v>8</v>
      </c>
      <c r="B9" s="163" t="s">
        <v>41</v>
      </c>
      <c r="C9" s="224"/>
      <c r="D9" s="6"/>
      <c r="E9" s="235">
        <v>43075</v>
      </c>
      <c r="F9" s="6"/>
      <c r="G9" s="6">
        <f>E9/55*D8</f>
        <v>33773.026952861226</v>
      </c>
      <c r="H9" s="6">
        <f>+G9*1.05</f>
        <v>35461.678300504289</v>
      </c>
      <c r="I9" s="6">
        <f t="shared" si="1"/>
        <v>37234.762215529503</v>
      </c>
      <c r="J9" s="6">
        <f t="shared" si="1"/>
        <v>39096.500326305977</v>
      </c>
      <c r="K9" s="6">
        <f t="shared" si="1"/>
        <v>41051.325342621276</v>
      </c>
      <c r="L9" s="6">
        <f t="shared" si="1"/>
        <v>43103.89160975234</v>
      </c>
      <c r="M9" s="6">
        <f t="shared" si="2"/>
        <v>43103.89160975234</v>
      </c>
      <c r="N9" s="6">
        <f t="shared" si="2"/>
        <v>43103.89160975234</v>
      </c>
      <c r="O9" s="6">
        <f t="shared" si="2"/>
        <v>43103.89160975234</v>
      </c>
      <c r="P9" s="28">
        <f t="shared" si="2"/>
        <v>43103.89160975234</v>
      </c>
    </row>
    <row r="10" spans="1:16" s="3" customFormat="1" x14ac:dyDescent="0.25">
      <c r="A10" s="198" t="s">
        <v>72</v>
      </c>
      <c r="B10" s="199" t="s">
        <v>42</v>
      </c>
      <c r="C10" s="83"/>
      <c r="D10" s="139"/>
      <c r="E10" s="139"/>
      <c r="G10" s="3">
        <f>SUM(G3:G9)</f>
        <v>308507.39053583232</v>
      </c>
      <c r="H10" s="3">
        <f>SUM(H3:H9)</f>
        <v>323933.62606262398</v>
      </c>
      <c r="I10" s="3">
        <f>+I6+I7+I8+I9</f>
        <v>340128.20736575517</v>
      </c>
      <c r="J10" s="3">
        <f t="shared" ref="J10:P10" si="3">+J6+J7+J8+J9</f>
        <v>357134.61773404299</v>
      </c>
      <c r="K10" s="3">
        <f t="shared" si="3"/>
        <v>374991.34862074512</v>
      </c>
      <c r="L10" s="3">
        <f t="shared" si="3"/>
        <v>393740.91605178243</v>
      </c>
      <c r="M10" s="3">
        <f t="shared" si="3"/>
        <v>393740.91605178243</v>
      </c>
      <c r="N10" s="3">
        <f t="shared" si="3"/>
        <v>393740.91605178243</v>
      </c>
      <c r="O10" s="3">
        <f t="shared" si="3"/>
        <v>393740.91605178243</v>
      </c>
      <c r="P10" s="25">
        <f t="shared" si="3"/>
        <v>393740.91605178243</v>
      </c>
    </row>
    <row r="11" spans="1:16" x14ac:dyDescent="0.25">
      <c r="A11" s="196" t="s">
        <v>9</v>
      </c>
      <c r="B11" s="161" t="s">
        <v>43</v>
      </c>
      <c r="C11" s="38"/>
      <c r="D11" s="137"/>
      <c r="E11" s="137"/>
      <c r="F11" s="15"/>
      <c r="G11" s="15">
        <v>18504</v>
      </c>
      <c r="H11" s="15">
        <f>+G11*1.03</f>
        <v>19059.12</v>
      </c>
      <c r="I11" s="15">
        <f t="shared" ref="I11:P11" si="4">+H11*1.03</f>
        <v>19630.893599999999</v>
      </c>
      <c r="J11" s="15">
        <f t="shared" si="4"/>
        <v>20219.820408</v>
      </c>
      <c r="K11" s="15">
        <f t="shared" si="4"/>
        <v>20826.415020240001</v>
      </c>
      <c r="L11" s="15">
        <f t="shared" si="4"/>
        <v>21451.207470847203</v>
      </c>
      <c r="M11" s="15">
        <f t="shared" si="4"/>
        <v>22094.743694972618</v>
      </c>
      <c r="N11" s="15">
        <f t="shared" si="4"/>
        <v>22757.586005821799</v>
      </c>
      <c r="O11" s="15">
        <f t="shared" si="4"/>
        <v>23440.313585996453</v>
      </c>
      <c r="P11" s="24">
        <f t="shared" si="4"/>
        <v>24143.522993576349</v>
      </c>
    </row>
    <row r="12" spans="1:16" x14ac:dyDescent="0.25">
      <c r="A12" s="196" t="s">
        <v>10</v>
      </c>
      <c r="B12" s="161" t="s">
        <v>44</v>
      </c>
      <c r="C12" s="38"/>
      <c r="D12" s="137"/>
      <c r="E12" s="137"/>
      <c r="F12" s="15"/>
      <c r="G12" s="15">
        <f>+G6*0.1</f>
        <v>4045.1579328588959</v>
      </c>
      <c r="H12" s="15">
        <f t="shared" ref="H12:P12" si="5">+H6*0.1</f>
        <v>4247.4158295018415</v>
      </c>
      <c r="I12" s="15">
        <f t="shared" si="5"/>
        <v>4459.7866209769336</v>
      </c>
      <c r="J12" s="15">
        <f t="shared" si="5"/>
        <v>4682.7759520257805</v>
      </c>
      <c r="K12" s="15">
        <f t="shared" si="5"/>
        <v>4916.9147496270698</v>
      </c>
      <c r="L12" s="15">
        <f t="shared" si="5"/>
        <v>5162.7604871084231</v>
      </c>
      <c r="M12" s="15">
        <f t="shared" si="5"/>
        <v>5162.7604871084231</v>
      </c>
      <c r="N12" s="15">
        <f t="shared" si="5"/>
        <v>5162.7604871084231</v>
      </c>
      <c r="O12" s="15">
        <f t="shared" si="5"/>
        <v>5162.7604871084231</v>
      </c>
      <c r="P12" s="24">
        <f t="shared" si="5"/>
        <v>5162.7604871084231</v>
      </c>
    </row>
    <row r="13" spans="1:16" x14ac:dyDescent="0.25">
      <c r="A13" s="196" t="s">
        <v>11</v>
      </c>
      <c r="B13" s="161" t="s">
        <v>89</v>
      </c>
      <c r="C13" s="38"/>
      <c r="D13" s="137"/>
      <c r="E13" s="137"/>
      <c r="F13" s="15"/>
      <c r="G13" s="15">
        <f>+G8*0.5</f>
        <v>110554.81785199585</v>
      </c>
      <c r="H13" s="15">
        <f t="shared" ref="H13:O13" si="6">+H8*0.5</f>
        <v>116082.55874459565</v>
      </c>
      <c r="I13" s="15">
        <f t="shared" si="6"/>
        <v>121886.68668182543</v>
      </c>
      <c r="J13" s="15">
        <f t="shared" si="6"/>
        <v>127981.02101591672</v>
      </c>
      <c r="K13" s="15">
        <f t="shared" si="6"/>
        <v>134380.07206671257</v>
      </c>
      <c r="L13" s="15">
        <f t="shared" si="6"/>
        <v>141099.07567004822</v>
      </c>
      <c r="M13" s="15">
        <f t="shared" si="6"/>
        <v>141099.07567004822</v>
      </c>
      <c r="N13" s="15">
        <f t="shared" si="6"/>
        <v>141099.07567004822</v>
      </c>
      <c r="O13" s="15">
        <f t="shared" si="6"/>
        <v>141099.07567004822</v>
      </c>
      <c r="P13" s="24">
        <f>+P8*0.5</f>
        <v>141099.07567004822</v>
      </c>
    </row>
    <row r="14" spans="1:16" x14ac:dyDescent="0.25">
      <c r="A14" s="196" t="s">
        <v>12</v>
      </c>
      <c r="B14" s="161" t="s">
        <v>45</v>
      </c>
      <c r="C14" s="38"/>
      <c r="D14" s="137"/>
      <c r="E14" s="137"/>
      <c r="F14" s="15"/>
      <c r="G14" s="15">
        <v>85120</v>
      </c>
      <c r="H14" s="15">
        <f>+G14*1.03</f>
        <v>87673.600000000006</v>
      </c>
      <c r="I14" s="15">
        <f t="shared" ref="I14:P14" si="7">+H14*1.03</f>
        <v>90303.808000000005</v>
      </c>
      <c r="J14" s="15">
        <f t="shared" si="7"/>
        <v>93012.92224</v>
      </c>
      <c r="K14" s="15">
        <f t="shared" si="7"/>
        <v>95803.309907200004</v>
      </c>
      <c r="L14" s="15">
        <f t="shared" si="7"/>
        <v>98677.409204416006</v>
      </c>
      <c r="M14" s="15">
        <f t="shared" si="7"/>
        <v>101637.73148054849</v>
      </c>
      <c r="N14" s="15">
        <f t="shared" si="7"/>
        <v>104686.86342496495</v>
      </c>
      <c r="O14" s="15">
        <f t="shared" si="7"/>
        <v>107827.4693277139</v>
      </c>
      <c r="P14" s="24">
        <f t="shared" si="7"/>
        <v>111062.29340754532</v>
      </c>
    </row>
    <row r="15" spans="1:16" x14ac:dyDescent="0.25">
      <c r="A15" s="196" t="s">
        <v>13</v>
      </c>
      <c r="B15" s="161" t="s">
        <v>46</v>
      </c>
      <c r="C15" s="38"/>
      <c r="D15" s="137"/>
      <c r="E15" s="137"/>
      <c r="F15" s="15"/>
      <c r="G15" s="15">
        <f>+G10*0.035</f>
        <v>10797.758668754132</v>
      </c>
      <c r="H15" s="15">
        <f t="shared" ref="H15:P15" si="8">+H10*0.035</f>
        <v>11337.676912191841</v>
      </c>
      <c r="I15" s="15">
        <f t="shared" si="8"/>
        <v>11904.487257801433</v>
      </c>
      <c r="J15" s="15">
        <f t="shared" si="8"/>
        <v>12499.711620691505</v>
      </c>
      <c r="K15" s="15">
        <f t="shared" si="8"/>
        <v>13124.69720172608</v>
      </c>
      <c r="L15" s="15">
        <f t="shared" si="8"/>
        <v>13780.932061812386</v>
      </c>
      <c r="M15" s="15">
        <f t="shared" si="8"/>
        <v>13780.932061812386</v>
      </c>
      <c r="N15" s="15">
        <f t="shared" si="8"/>
        <v>13780.932061812386</v>
      </c>
      <c r="O15" s="15">
        <f t="shared" si="8"/>
        <v>13780.932061812386</v>
      </c>
      <c r="P15" s="24">
        <f t="shared" si="8"/>
        <v>13780.932061812386</v>
      </c>
    </row>
    <row r="16" spans="1:16" x14ac:dyDescent="0.25">
      <c r="A16" s="196" t="s">
        <v>14</v>
      </c>
      <c r="B16" s="161" t="s">
        <v>90</v>
      </c>
      <c r="C16" s="38"/>
      <c r="D16" s="137"/>
      <c r="E16" s="137"/>
      <c r="F16" s="15"/>
      <c r="G16" s="15">
        <f>+G10*0.02</f>
        <v>6170.1478107166467</v>
      </c>
      <c r="H16" s="15">
        <f t="shared" ref="H16:P16" si="9">+H10*0.02</f>
        <v>6478.6725212524798</v>
      </c>
      <c r="I16" s="15">
        <f t="shared" si="9"/>
        <v>6802.5641473151036</v>
      </c>
      <c r="J16" s="15">
        <f t="shared" si="9"/>
        <v>7142.6923546808603</v>
      </c>
      <c r="K16" s="15">
        <f t="shared" si="9"/>
        <v>7499.8269724149022</v>
      </c>
      <c r="L16" s="15">
        <f t="shared" si="9"/>
        <v>7874.8183210356492</v>
      </c>
      <c r="M16" s="15">
        <f t="shared" si="9"/>
        <v>7874.8183210356492</v>
      </c>
      <c r="N16" s="15">
        <f t="shared" si="9"/>
        <v>7874.8183210356492</v>
      </c>
      <c r="O16" s="15">
        <f t="shared" si="9"/>
        <v>7874.8183210356492</v>
      </c>
      <c r="P16" s="24">
        <f t="shared" si="9"/>
        <v>7874.8183210356492</v>
      </c>
    </row>
    <row r="17" spans="1:16" x14ac:dyDescent="0.25">
      <c r="A17" s="196" t="s">
        <v>15</v>
      </c>
      <c r="B17" s="161" t="s">
        <v>47</v>
      </c>
      <c r="C17" s="38"/>
      <c r="D17" s="137"/>
      <c r="E17" s="137"/>
      <c r="F17" s="15"/>
      <c r="G17" s="15">
        <f>+G10*0.012</f>
        <v>3702.0886864299878</v>
      </c>
      <c r="H17" s="15">
        <f t="shared" ref="H17:P17" si="10">+H10*0.012</f>
        <v>3887.2035127514878</v>
      </c>
      <c r="I17" s="15">
        <f t="shared" si="10"/>
        <v>4081.538488389062</v>
      </c>
      <c r="J17" s="15">
        <f t="shared" si="10"/>
        <v>4285.6154128085163</v>
      </c>
      <c r="K17" s="15">
        <f t="shared" si="10"/>
        <v>4499.8961834489419</v>
      </c>
      <c r="L17" s="15">
        <f t="shared" si="10"/>
        <v>4724.8909926213892</v>
      </c>
      <c r="M17" s="15">
        <f t="shared" si="10"/>
        <v>4724.8909926213892</v>
      </c>
      <c r="N17" s="15">
        <f t="shared" si="10"/>
        <v>4724.8909926213892</v>
      </c>
      <c r="O17" s="15">
        <f t="shared" si="10"/>
        <v>4724.8909926213892</v>
      </c>
      <c r="P17" s="24">
        <f t="shared" si="10"/>
        <v>4724.8909926213892</v>
      </c>
    </row>
    <row r="18" spans="1:16" x14ac:dyDescent="0.25">
      <c r="A18" s="197" t="s">
        <v>16</v>
      </c>
      <c r="B18" s="163" t="s">
        <v>48</v>
      </c>
      <c r="C18" s="39"/>
      <c r="D18" s="138"/>
      <c r="E18" s="138"/>
      <c r="F18" s="6"/>
      <c r="G18" s="6">
        <f>+G10*0.05</f>
        <v>15425.369526791617</v>
      </c>
      <c r="H18" s="6">
        <f t="shared" ref="H18:P18" si="11">+H10*0.05</f>
        <v>16196.681303131199</v>
      </c>
      <c r="I18" s="6">
        <f t="shared" si="11"/>
        <v>17006.410368287758</v>
      </c>
      <c r="J18" s="6">
        <f t="shared" si="11"/>
        <v>17856.730886702149</v>
      </c>
      <c r="K18" s="6">
        <f t="shared" si="11"/>
        <v>18749.567431037256</v>
      </c>
      <c r="L18" s="6">
        <f t="shared" si="11"/>
        <v>19687.045802589124</v>
      </c>
      <c r="M18" s="6">
        <f t="shared" si="11"/>
        <v>19687.045802589124</v>
      </c>
      <c r="N18" s="6">
        <f t="shared" si="11"/>
        <v>19687.045802589124</v>
      </c>
      <c r="O18" s="6">
        <f t="shared" si="11"/>
        <v>19687.045802589124</v>
      </c>
      <c r="P18" s="28">
        <f t="shared" si="11"/>
        <v>19687.045802589124</v>
      </c>
    </row>
    <row r="19" spans="1:16" s="4" customFormat="1" x14ac:dyDescent="0.25">
      <c r="A19" s="200" t="s">
        <v>73</v>
      </c>
      <c r="B19" s="201" t="s">
        <v>91</v>
      </c>
      <c r="C19" s="84"/>
      <c r="D19" s="140"/>
      <c r="E19" s="140"/>
      <c r="G19" s="4">
        <f>SUM(G11:G18)</f>
        <v>254319.34047754711</v>
      </c>
      <c r="H19" s="4">
        <f t="shared" ref="H19:P19" si="12">SUM(H11:H18)</f>
        <v>264962.9288234245</v>
      </c>
      <c r="I19" s="4">
        <f t="shared" si="12"/>
        <v>276076.17516459571</v>
      </c>
      <c r="J19" s="4">
        <f t="shared" si="12"/>
        <v>287681.28989082552</v>
      </c>
      <c r="K19" s="4">
        <f t="shared" si="12"/>
        <v>299800.69953240687</v>
      </c>
      <c r="L19" s="4">
        <f t="shared" si="12"/>
        <v>312458.14001047838</v>
      </c>
      <c r="M19" s="4">
        <f t="shared" si="12"/>
        <v>316061.99851073622</v>
      </c>
      <c r="N19" s="4">
        <f t="shared" si="12"/>
        <v>319773.97276600188</v>
      </c>
      <c r="O19" s="4">
        <f t="shared" si="12"/>
        <v>323597.30624892551</v>
      </c>
      <c r="P19" s="26">
        <f t="shared" si="12"/>
        <v>327535.33973633678</v>
      </c>
    </row>
    <row r="20" spans="1:16" s="12" customFormat="1" x14ac:dyDescent="0.25">
      <c r="A20" s="202" t="s">
        <v>74</v>
      </c>
      <c r="B20" s="203" t="s">
        <v>92</v>
      </c>
      <c r="C20" s="93"/>
      <c r="D20" s="239"/>
      <c r="E20" s="239"/>
      <c r="F20" s="91"/>
      <c r="G20" s="91">
        <f>+G10-G19</f>
        <v>54188.050058285211</v>
      </c>
      <c r="H20" s="91">
        <f t="shared" ref="H20:P20" si="13">+H10-H19</f>
        <v>58970.697239199479</v>
      </c>
      <c r="I20" s="91">
        <f t="shared" si="13"/>
        <v>64052.032201159454</v>
      </c>
      <c r="J20" s="91">
        <f t="shared" si="13"/>
        <v>69453.32784321747</v>
      </c>
      <c r="K20" s="91">
        <f t="shared" si="13"/>
        <v>75190.64908833825</v>
      </c>
      <c r="L20" s="91">
        <f t="shared" si="13"/>
        <v>81282.776041304052</v>
      </c>
      <c r="M20" s="91">
        <f t="shared" si="13"/>
        <v>77678.917541046219</v>
      </c>
      <c r="N20" s="91">
        <f t="shared" si="13"/>
        <v>73966.943285780551</v>
      </c>
      <c r="O20" s="91">
        <f t="shared" si="13"/>
        <v>70143.609802856925</v>
      </c>
      <c r="P20" s="92">
        <f t="shared" si="13"/>
        <v>66205.576315445651</v>
      </c>
    </row>
    <row r="21" spans="1:16" x14ac:dyDescent="0.25">
      <c r="A21" s="204" t="s">
        <v>75</v>
      </c>
      <c r="B21" s="161" t="s">
        <v>93</v>
      </c>
      <c r="C21" s="38"/>
      <c r="D21" s="137"/>
      <c r="E21" s="137"/>
      <c r="F21" s="15"/>
      <c r="G21" s="15">
        <f>+L3</f>
        <v>0</v>
      </c>
      <c r="H21" s="15">
        <f>+G21*1</f>
        <v>0</v>
      </c>
      <c r="I21" s="15">
        <f t="shared" ref="I21:P21" si="14">+H21*1</f>
        <v>0</v>
      </c>
      <c r="J21" s="15">
        <f t="shared" si="14"/>
        <v>0</v>
      </c>
      <c r="K21" s="15">
        <f t="shared" si="14"/>
        <v>0</v>
      </c>
      <c r="L21" s="15">
        <f t="shared" si="14"/>
        <v>0</v>
      </c>
      <c r="M21" s="15">
        <f t="shared" si="14"/>
        <v>0</v>
      </c>
      <c r="N21" s="15">
        <f t="shared" si="14"/>
        <v>0</v>
      </c>
      <c r="O21" s="15">
        <f>+N21*1</f>
        <v>0</v>
      </c>
      <c r="P21" s="24">
        <f t="shared" si="14"/>
        <v>0</v>
      </c>
    </row>
    <row r="22" spans="1:16" x14ac:dyDescent="0.25">
      <c r="A22" s="204" t="s">
        <v>76</v>
      </c>
      <c r="B22" s="161"/>
      <c r="C22" s="38"/>
      <c r="D22" s="137"/>
      <c r="E22" s="137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24">
        <f>+P20*(1+0.02)/(G3-0.02)</f>
        <v>1125494.7973625762</v>
      </c>
    </row>
    <row r="23" spans="1:16" x14ac:dyDescent="0.25">
      <c r="A23" s="205" t="s">
        <v>77</v>
      </c>
      <c r="B23" s="163"/>
      <c r="C23" s="38"/>
      <c r="D23" s="137"/>
      <c r="E23" s="137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24">
        <v>0</v>
      </c>
    </row>
    <row r="24" spans="1:16" s="7" customFormat="1" ht="15" thickBot="1" x14ac:dyDescent="0.3">
      <c r="A24" s="206" t="s">
        <v>49</v>
      </c>
      <c r="B24" s="207"/>
      <c r="C24" s="56"/>
      <c r="D24" s="142"/>
      <c r="E24" s="142"/>
      <c r="G24" s="7">
        <f>+G20-G21+G22-G23</f>
        <v>54188.050058285211</v>
      </c>
      <c r="H24" s="7">
        <f t="shared" ref="H24:P24" si="15">+H20-H21+H22-H23</f>
        <v>58970.697239199479</v>
      </c>
      <c r="I24" s="7">
        <f t="shared" si="15"/>
        <v>64052.032201159454</v>
      </c>
      <c r="J24" s="7">
        <f t="shared" si="15"/>
        <v>69453.32784321747</v>
      </c>
      <c r="K24" s="7">
        <f t="shared" si="15"/>
        <v>75190.64908833825</v>
      </c>
      <c r="L24" s="7">
        <f t="shared" si="15"/>
        <v>81282.776041304052</v>
      </c>
      <c r="M24" s="7">
        <f t="shared" si="15"/>
        <v>77678.917541046219</v>
      </c>
      <c r="N24" s="7">
        <f t="shared" si="15"/>
        <v>73966.943285780551</v>
      </c>
      <c r="O24" s="7">
        <f t="shared" si="15"/>
        <v>70143.609802856925</v>
      </c>
      <c r="P24" s="29">
        <f t="shared" si="15"/>
        <v>1191700.3736780218</v>
      </c>
    </row>
    <row r="25" spans="1:16" s="8" customFormat="1" ht="15" thickTop="1" x14ac:dyDescent="0.25">
      <c r="A25" s="208" t="s">
        <v>78</v>
      </c>
      <c r="B25" s="209"/>
      <c r="C25" s="85"/>
      <c r="D25" s="143"/>
      <c r="E25" s="143"/>
      <c r="F25" s="40"/>
      <c r="G25" s="40">
        <f>+G20</f>
        <v>54188.050058285211</v>
      </c>
      <c r="H25" s="40">
        <f t="shared" ref="H25:O25" si="16">+H20</f>
        <v>58970.697239199479</v>
      </c>
      <c r="I25" s="40">
        <f t="shared" si="16"/>
        <v>64052.032201159454</v>
      </c>
      <c r="J25" s="40">
        <f t="shared" si="16"/>
        <v>69453.32784321747</v>
      </c>
      <c r="K25" s="40">
        <f t="shared" si="16"/>
        <v>75190.64908833825</v>
      </c>
      <c r="L25" s="40">
        <f t="shared" si="16"/>
        <v>81282.776041304052</v>
      </c>
      <c r="M25" s="40">
        <f t="shared" si="16"/>
        <v>77678.917541046219</v>
      </c>
      <c r="N25" s="40">
        <f t="shared" si="16"/>
        <v>73966.943285780551</v>
      </c>
      <c r="O25" s="40">
        <f t="shared" si="16"/>
        <v>70143.609802856925</v>
      </c>
      <c r="P25" s="41">
        <f>+P20+P22</f>
        <v>1191700.3736780218</v>
      </c>
    </row>
    <row r="26" spans="1:16" x14ac:dyDescent="0.25">
      <c r="A26" s="210" t="s">
        <v>79</v>
      </c>
      <c r="B26" s="211"/>
      <c r="C26" s="86"/>
      <c r="D26" s="137"/>
      <c r="E26" s="137"/>
      <c r="F26" s="42"/>
      <c r="G26" s="42">
        <f>-IPMT(0.08,1,10,C3,0)</f>
        <v>0</v>
      </c>
      <c r="H26" s="42">
        <f>-IPMT(0.08,2,10,C3,0)</f>
        <v>0</v>
      </c>
      <c r="I26" s="42">
        <f>-IPMT(0.08,3,10,C3,0)</f>
        <v>0</v>
      </c>
      <c r="J26" s="42">
        <f>-IPMT(0.08,4,10,C3,0)</f>
        <v>0</v>
      </c>
      <c r="K26" s="42">
        <f>-IPMT(0.08,5,10,C3,0)</f>
        <v>0</v>
      </c>
      <c r="L26" s="42">
        <f>-IPMT(0.08,6,10,C3,0)</f>
        <v>0</v>
      </c>
      <c r="M26" s="42">
        <f>-IPMT(0.08,7,10,C3,0)</f>
        <v>0</v>
      </c>
      <c r="N26" s="42">
        <f>-IPMT(0.08,8,10,C3,0)</f>
        <v>0</v>
      </c>
      <c r="O26" s="42">
        <f>-IPMT(0.08,9,10,C3,0)</f>
        <v>0</v>
      </c>
      <c r="P26" s="43">
        <f>-IPMT(0.08,10,10,C3,0)</f>
        <v>0</v>
      </c>
    </row>
    <row r="27" spans="1:16" s="6" customFormat="1" x14ac:dyDescent="0.25">
      <c r="A27" s="210" t="s">
        <v>80</v>
      </c>
      <c r="B27" s="211"/>
      <c r="C27" s="86"/>
      <c r="D27" s="137"/>
      <c r="E27" s="137"/>
      <c r="F27" s="42"/>
      <c r="G27" s="42">
        <f>800000/50</f>
        <v>16000</v>
      </c>
      <c r="H27" s="42">
        <f>+G27*1</f>
        <v>16000</v>
      </c>
      <c r="I27" s="42">
        <f t="shared" ref="I27:O27" si="17">+H27*1</f>
        <v>16000</v>
      </c>
      <c r="J27" s="42">
        <f t="shared" si="17"/>
        <v>16000</v>
      </c>
      <c r="K27" s="42">
        <f t="shared" si="17"/>
        <v>16000</v>
      </c>
      <c r="L27" s="42">
        <f t="shared" si="17"/>
        <v>16000</v>
      </c>
      <c r="M27" s="42">
        <f t="shared" si="17"/>
        <v>16000</v>
      </c>
      <c r="N27" s="42">
        <f t="shared" si="17"/>
        <v>16000</v>
      </c>
      <c r="O27" s="42">
        <f t="shared" si="17"/>
        <v>16000</v>
      </c>
      <c r="P27" s="43">
        <v>16000</v>
      </c>
    </row>
    <row r="28" spans="1:16" s="15" customFormat="1" ht="15" thickBot="1" x14ac:dyDescent="0.3">
      <c r="A28" s="212" t="s">
        <v>81</v>
      </c>
      <c r="B28" s="213"/>
      <c r="C28" s="101"/>
      <c r="D28" s="144"/>
      <c r="E28" s="144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100">
        <v>800000</v>
      </c>
    </row>
    <row r="29" spans="1:16" s="9" customFormat="1" x14ac:dyDescent="0.25">
      <c r="A29" s="214" t="s">
        <v>82</v>
      </c>
      <c r="B29" s="215"/>
      <c r="C29" s="87"/>
      <c r="D29" s="145"/>
      <c r="E29" s="145"/>
      <c r="F29" s="44"/>
      <c r="G29" s="44">
        <f>+G25-G26-G27</f>
        <v>38188.050058285211</v>
      </c>
      <c r="H29" s="44">
        <f>+H25-G26-H27</f>
        <v>42970.697239199479</v>
      </c>
      <c r="I29" s="44">
        <f t="shared" ref="I29:O29" si="18">+I25-I26-I27</f>
        <v>48052.032201159454</v>
      </c>
      <c r="J29" s="44">
        <f t="shared" si="18"/>
        <v>53453.32784321747</v>
      </c>
      <c r="K29" s="44">
        <f t="shared" si="18"/>
        <v>59190.64908833825</v>
      </c>
      <c r="L29" s="44">
        <f t="shared" si="18"/>
        <v>65282.776041304052</v>
      </c>
      <c r="M29" s="44">
        <f t="shared" si="18"/>
        <v>61678.917541046219</v>
      </c>
      <c r="N29" s="44">
        <f t="shared" si="18"/>
        <v>57966.943285780551</v>
      </c>
      <c r="O29" s="44">
        <f t="shared" si="18"/>
        <v>54143.609802856925</v>
      </c>
      <c r="P29" s="45">
        <f>+P25-P26-P27-P28</f>
        <v>375700.37367802183</v>
      </c>
    </row>
    <row r="30" spans="1:16" s="13" customFormat="1" x14ac:dyDescent="0.25">
      <c r="A30" s="216" t="s">
        <v>83</v>
      </c>
      <c r="B30" s="217"/>
      <c r="C30" s="88"/>
      <c r="D30" s="146"/>
      <c r="E30" s="146"/>
      <c r="F30" s="46"/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0.25</v>
      </c>
      <c r="M30" s="46">
        <v>0.25</v>
      </c>
      <c r="N30" s="46">
        <v>0.25</v>
      </c>
      <c r="O30" s="46">
        <v>0.25</v>
      </c>
      <c r="P30" s="90">
        <v>0.25</v>
      </c>
    </row>
    <row r="31" spans="1:16" s="7" customFormat="1" ht="17.25" customHeight="1" thickBot="1" x14ac:dyDescent="0.3">
      <c r="A31" s="218" t="s">
        <v>84</v>
      </c>
      <c r="B31" s="219"/>
      <c r="C31" s="89"/>
      <c r="D31" s="142"/>
      <c r="E31" s="142"/>
      <c r="F31" s="47"/>
      <c r="G31" s="47">
        <f>+G29*G30</f>
        <v>0</v>
      </c>
      <c r="H31" s="47">
        <f t="shared" ref="H31:P31" si="19">+H29*H30</f>
        <v>0</v>
      </c>
      <c r="I31" s="47">
        <f t="shared" si="19"/>
        <v>0</v>
      </c>
      <c r="J31" s="47">
        <f t="shared" si="19"/>
        <v>0</v>
      </c>
      <c r="K31" s="47">
        <f t="shared" si="19"/>
        <v>0</v>
      </c>
      <c r="L31" s="47">
        <f t="shared" si="19"/>
        <v>16320.694010326013</v>
      </c>
      <c r="M31" s="47">
        <f t="shared" si="19"/>
        <v>15419.729385261555</v>
      </c>
      <c r="N31" s="47">
        <f t="shared" si="19"/>
        <v>14491.735821445138</v>
      </c>
      <c r="O31" s="47">
        <f t="shared" si="19"/>
        <v>13535.902450714231</v>
      </c>
      <c r="P31" s="48">
        <f t="shared" si="19"/>
        <v>93925.093419505458</v>
      </c>
    </row>
    <row r="32" spans="1:16" ht="15" thickTop="1" x14ac:dyDescent="0.25">
      <c r="A32" s="196" t="s">
        <v>50</v>
      </c>
      <c r="B32" s="161"/>
      <c r="C32" s="38"/>
      <c r="D32" s="137">
        <f>-C2/2-D21</f>
        <v>-450000</v>
      </c>
      <c r="E32" s="137">
        <f>-C2/2-E21</f>
        <v>-450000</v>
      </c>
      <c r="F32" s="15">
        <v>-900000</v>
      </c>
      <c r="G32" s="15">
        <f>+G24-G31</f>
        <v>54188.050058285211</v>
      </c>
      <c r="H32" s="15">
        <f t="shared" ref="H32:P32" si="20">+H24-H31</f>
        <v>58970.697239199479</v>
      </c>
      <c r="I32" s="15">
        <f t="shared" si="20"/>
        <v>64052.032201159454</v>
      </c>
      <c r="J32" s="15">
        <f t="shared" si="20"/>
        <v>69453.32784321747</v>
      </c>
      <c r="K32" s="15">
        <f t="shared" si="20"/>
        <v>75190.64908833825</v>
      </c>
      <c r="L32" s="15">
        <f t="shared" si="20"/>
        <v>64962.082030978039</v>
      </c>
      <c r="M32" s="15">
        <f t="shared" si="20"/>
        <v>62259.188155784665</v>
      </c>
      <c r="N32" s="15">
        <f t="shared" si="20"/>
        <v>59475.207464335414</v>
      </c>
      <c r="O32" s="15">
        <f t="shared" si="20"/>
        <v>56607.707352142694</v>
      </c>
      <c r="P32" s="24">
        <f t="shared" si="20"/>
        <v>1097775.2802585163</v>
      </c>
    </row>
    <row r="33" spans="1:16" s="10" customFormat="1" x14ac:dyDescent="0.25">
      <c r="A33" s="30" t="s">
        <v>2</v>
      </c>
      <c r="C33" s="57"/>
      <c r="P33" s="31"/>
    </row>
    <row r="34" spans="1:16" s="11" customFormat="1" x14ac:dyDescent="0.25">
      <c r="A34" s="32" t="s">
        <v>3</v>
      </c>
      <c r="C34" s="94">
        <f>IRR(F32:P32)</f>
        <v>8.0000000000001181E-2</v>
      </c>
      <c r="P34" s="33"/>
    </row>
    <row r="35" spans="1:16" s="6" customFormat="1" ht="15" thickBot="1" x14ac:dyDescent="0.3">
      <c r="A35" s="23" t="s">
        <v>4</v>
      </c>
      <c r="B35" s="15"/>
      <c r="C35" s="236">
        <f>NPV(G3,G32:P32)+ F32</f>
        <v>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4"/>
    </row>
    <row r="36" spans="1:16" x14ac:dyDescent="0.25">
      <c r="A36" s="97" t="s">
        <v>97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</row>
    <row r="37" spans="1:16" x14ac:dyDescent="0.25">
      <c r="A37" s="1" t="s">
        <v>98</v>
      </c>
    </row>
    <row r="39" spans="1:16" x14ac:dyDescent="0.25">
      <c r="G39" s="2" t="s">
        <v>94</v>
      </c>
    </row>
  </sheetData>
  <phoneticPr fontId="2" type="noConversion"/>
  <pageMargins left="0.75" right="0.75" top="1" bottom="1" header="0.5" footer="0.5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14.4</vt:lpstr>
      <vt:lpstr>14.5</vt:lpstr>
      <vt:lpstr>14.6</vt:lpstr>
      <vt:lpstr>14.7</vt:lpstr>
      <vt:lpstr>14.8</vt:lpstr>
      <vt:lpstr>14.9</vt:lpstr>
    </vt:vector>
  </TitlesOfParts>
  <Company>朝陽科技大學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Cyut</dc:creator>
  <cp:lastModifiedBy>calvinlin168</cp:lastModifiedBy>
  <cp:lastPrinted>2003-05-06T16:33:37Z</cp:lastPrinted>
  <dcterms:created xsi:type="dcterms:W3CDTF">2001-11-08T10:37:17Z</dcterms:created>
  <dcterms:modified xsi:type="dcterms:W3CDTF">2022-06-04T05:30:14Z</dcterms:modified>
</cp:coreProperties>
</file>